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2.xml" ContentType="application/vnd.openxmlformats-officedocument.drawing+xml"/>
  <Override PartName="/xl/tables/table2.xml" ContentType="application/vnd.openxmlformats-officedocument.spreadsheetml.table+xml"/>
  <Override PartName="/xl/worksheets/sheet9.xml" ContentType="application/vnd.openxmlformats-officedocument.spreadsheetml.worksheet+xml"/>
  <Override PartName="/xl/drawings/drawing3.xml" ContentType="application/vnd.openxmlformats-officedocument.drawing+xml"/>
  <Override PartName="/xl/tables/table3.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worksheets/sheet13.xml" ContentType="application/vnd.openxmlformats-officedocument.spreadsheetml.worksheet+xml"/>
  <Override PartName="/xl/tables/table6.xml" ContentType="application/vnd.openxmlformats-officedocument.spreadsheetml.table+xml"/>
  <Override PartName="/xl/tables/table7.xml" ContentType="application/vnd.openxmlformats-officedocument.spreadsheetml.table+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ables/table8.xml" ContentType="application/vnd.openxmlformats-officedocument.spreadsheetml.table+xml"/>
  <Override PartName="/xl/worksheets/sheet19.xml" ContentType="application/vnd.openxmlformats-officedocument.spreadsheetml.worksheet+xml"/>
  <Override PartName="/xl/drawings/drawing5.xml" ContentType="application/vnd.openxmlformats-officedocument.drawing+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ables/table9.xml" ContentType="application/vnd.openxmlformats-officedocument.spreadsheetml.table+xml"/>
  <Override PartName="/xl/worksheets/sheet28.xml" ContentType="application/vnd.openxmlformats-officedocument.spreadsheetml.worksheet+xml"/>
  <Override PartName="/xl/drawings/drawing6.xml" ContentType="application/vnd.openxmlformats-officedocument.drawing+xml"/>
  <Override PartName="/xl/worksheets/sheet29.xml" ContentType="application/vnd.openxmlformats-officedocument.spreadsheetml.worksheet+xml"/>
  <Override PartName="/xl/worksheets/sheet30.xml" ContentType="application/vnd.openxmlformats-officedocument.spreadsheetml.worksheet+xml"/>
  <Override PartName="/xl/drawings/drawing7.xml" ContentType="application/vnd.openxmlformats-officedocument.drawing+xml"/>
  <Override PartName="/xl/worksheets/sheet31.xml" ContentType="application/vnd.openxmlformats-officedocument.spreadsheetml.worksheet+xml"/>
  <Override PartName="/xl/worksheets/sheet32.xml" ContentType="application/vnd.openxmlformats-officedocument.spreadsheetml.worksheet+xml"/>
  <Override PartName="/xl/drawings/drawing8.xml" ContentType="application/vnd.openxmlformats-officedocument.drawing+xml"/>
  <Override PartName="/xl/worksheets/sheet33.xml" ContentType="application/vnd.openxmlformats-officedocument.spreadsheetml.worksheet+xml"/>
  <Override PartName="/xl/drawings/drawing9.xml" ContentType="application/vnd.openxmlformats-officedocument.drawing+xml"/>
  <Override PartName="/xl/worksheets/sheet34.xml" ContentType="application/vnd.openxmlformats-officedocument.spreadsheetml.worksheet+xml"/>
  <Override PartName="/xl/drawings/drawing10.xml" ContentType="application/vnd.openxmlformats-officedocument.drawing+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drawings/drawing11.xml" ContentType="application/vnd.openxmlformats-officedocument.drawing+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12.xml" ContentType="application/vnd.openxmlformats-officedocument.drawing+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Table of Contents" sheetId="2" state="visible" r:id="rId2"/>
    <sheet xmlns:r="http://schemas.openxmlformats.org/officeDocument/2006/relationships" name="Dashboard" sheetId="3" state="visible" r:id="rId3"/>
    <sheet xmlns:r="http://schemas.openxmlformats.org/officeDocument/2006/relationships" name="Scorecard" sheetId="4" state="visible" r:id="rId4"/>
    <sheet xmlns:r="http://schemas.openxmlformats.org/officeDocument/2006/relationships" name="Price Target" sheetId="5" state="visible" r:id="rId5"/>
    <sheet xmlns:r="http://schemas.openxmlformats.org/officeDocument/2006/relationships" name="Summary" sheetId="6" state="visible" r:id="rId6"/>
    <sheet xmlns:r="http://schemas.openxmlformats.org/officeDocument/2006/relationships" name="EV Bridge" sheetId="7" state="visible" r:id="rId7"/>
    <sheet xmlns:r="http://schemas.openxmlformats.org/officeDocument/2006/relationships" name="SOTP" sheetId="8" state="visible" r:id="rId8"/>
    <sheet xmlns:r="http://schemas.openxmlformats.org/officeDocument/2006/relationships" name="Waterfall-Tornado" sheetId="9" state="visible" r:id="rId9"/>
    <sheet xmlns:r="http://schemas.openxmlformats.org/officeDocument/2006/relationships" name="DCF Scenarios" sheetId="10" state="visible" r:id="rId10"/>
    <sheet xmlns:r="http://schemas.openxmlformats.org/officeDocument/2006/relationships" name="Sensitivity" sheetId="11" state="visible" r:id="rId11"/>
    <sheet xmlns:r="http://schemas.openxmlformats.org/officeDocument/2006/relationships" name="Comparable Companies" sheetId="12" state="visible" r:id="rId12"/>
    <sheet xmlns:r="http://schemas.openxmlformats.org/officeDocument/2006/relationships" name="Precedent Transactions" sheetId="13" state="visible" r:id="rId13"/>
    <sheet xmlns:r="http://schemas.openxmlformats.org/officeDocument/2006/relationships" name="LBO Analysis" sheetId="14" state="visible" r:id="rId14"/>
    <sheet xmlns:r="http://schemas.openxmlformats.org/officeDocument/2006/relationships" name="Quality of Earnings" sheetId="15" state="visible" r:id="rId15"/>
    <sheet xmlns:r="http://schemas.openxmlformats.org/officeDocument/2006/relationships" name="Unit Economics" sheetId="16" state="visible" r:id="rId16"/>
    <sheet xmlns:r="http://schemas.openxmlformats.org/officeDocument/2006/relationships" name="Capital Allocation" sheetId="17" state="visible" r:id="rId17"/>
    <sheet xmlns:r="http://schemas.openxmlformats.org/officeDocument/2006/relationships" name="Deep Analysis" sheetId="18" state="visible" r:id="rId18"/>
    <sheet xmlns:r="http://schemas.openxmlformats.org/officeDocument/2006/relationships" name="Margin Bridge" sheetId="19" state="visible" r:id="rId19"/>
    <sheet xmlns:r="http://schemas.openxmlformats.org/officeDocument/2006/relationships" name="Cash Flow Waterfall" sheetId="20" state="visible" r:id="rId20"/>
    <sheet xmlns:r="http://schemas.openxmlformats.org/officeDocument/2006/relationships" name="Diluted Shares" sheetId="21" state="visible" r:id="rId21"/>
    <sheet xmlns:r="http://schemas.openxmlformats.org/officeDocument/2006/relationships" name="Debt Schedule" sheetId="22" state="visible" r:id="rId22"/>
    <sheet xmlns:r="http://schemas.openxmlformats.org/officeDocument/2006/relationships" name="IRR Table" sheetId="23" state="visible" r:id="rId23"/>
    <sheet xmlns:r="http://schemas.openxmlformats.org/officeDocument/2006/relationships" name="Pro-Forma Balance Sheet" sheetId="24" state="visible" r:id="rId24"/>
    <sheet xmlns:r="http://schemas.openxmlformats.org/officeDocument/2006/relationships" name="Acquisition Premium" sheetId="25" state="visible" r:id="rId25"/>
    <sheet xmlns:r="http://schemas.openxmlformats.org/officeDocument/2006/relationships" name="ESG Scorecard" sheetId="26" state="visible" r:id="rId26"/>
    <sheet xmlns:r="http://schemas.openxmlformats.org/officeDocument/2006/relationships" name="Risk Register" sheetId="27" state="visible" r:id="rId27"/>
    <sheet xmlns:r="http://schemas.openxmlformats.org/officeDocument/2006/relationships" name="Ownership Structure" sheetId="28" state="visible" r:id="rId28"/>
    <sheet xmlns:r="http://schemas.openxmlformats.org/officeDocument/2006/relationships" name="Assumptions" sheetId="29" state="visible" r:id="rId29"/>
    <sheet xmlns:r="http://schemas.openxmlformats.org/officeDocument/2006/relationships" name="Football Field" sheetId="30" state="visible" r:id="rId30"/>
    <sheet xmlns:r="http://schemas.openxmlformats.org/officeDocument/2006/relationships" name="3-Statement Model" sheetId="31" state="visible" r:id="rId31"/>
    <sheet xmlns:r="http://schemas.openxmlformats.org/officeDocument/2006/relationships" name="Monte Carlo Output" sheetId="32" state="visible" r:id="rId32"/>
    <sheet xmlns:r="http://schemas.openxmlformats.org/officeDocument/2006/relationships" name="Revenue Build" sheetId="33" state="visible" r:id="rId33"/>
    <sheet xmlns:r="http://schemas.openxmlformats.org/officeDocument/2006/relationships" name="Historical Trading Chart" sheetId="34" state="visible" r:id="rId34"/>
    <sheet xmlns:r="http://schemas.openxmlformats.org/officeDocument/2006/relationships" name="Dividend Discount Model" sheetId="35" state="visible" r:id="rId35"/>
    <sheet xmlns:r="http://schemas.openxmlformats.org/officeDocument/2006/relationships" name="Working Capital Schedule" sheetId="36" state="visible" r:id="rId36"/>
    <sheet xmlns:r="http://schemas.openxmlformats.org/officeDocument/2006/relationships" name="Historical Multiples" sheetId="37" state="visible" r:id="rId37"/>
    <sheet xmlns:r="http://schemas.openxmlformats.org/officeDocument/2006/relationships" name="SaaS Metrics Dashboard" sheetId="38" state="visible" r:id="rId38"/>
    <sheet xmlns:r="http://schemas.openxmlformats.org/officeDocument/2006/relationships" name="Macro Sensitivity" sheetId="39" state="visible" r:id="rId39"/>
    <sheet xmlns:r="http://schemas.openxmlformats.org/officeDocument/2006/relationships" name="Segment Analysis" sheetId="40" state="visible" r:id="rId40"/>
    <sheet xmlns:r="http://schemas.openxmlformats.org/officeDocument/2006/relationships" name="PP&amp;E Schedule" sheetId="41" state="visible" r:id="rId41"/>
    <sheet xmlns:r="http://schemas.openxmlformats.org/officeDocument/2006/relationships" name="Insider Transactions" sheetId="42" state="visible" r:id="rId42"/>
    <sheet xmlns:r="http://schemas.openxmlformats.org/officeDocument/2006/relationships" name="Short Interest" sheetId="43" state="visible" r:id="rId43"/>
    <sheet xmlns:r="http://schemas.openxmlformats.org/officeDocument/2006/relationships" name="Options &amp; Implied Volatility" sheetId="44" state="visible" r:id="rId44"/>
    <sheet xmlns:r="http://schemas.openxmlformats.org/officeDocument/2006/relationships" name="NAV Analysis" sheetId="45" state="visible" r:id="rId45"/>
    <sheet xmlns:r="http://schemas.openxmlformats.org/officeDocument/2006/relationships" name="Executive Compensation" sheetId="46" state="visible" r:id="rId46"/>
    <sheet xmlns:r="http://schemas.openxmlformats.org/officeDocument/2006/relationships" name="Credit Analysis" sheetId="47" state="visible" r:id="rId47"/>
    <sheet xmlns:r="http://schemas.openxmlformats.org/officeDocument/2006/relationships" name="Quarterly Model" sheetId="48" state="visible" r:id="rId48"/>
    <sheet xmlns:r="http://schemas.openxmlformats.org/officeDocument/2006/relationships" name="Consensus Estimates" sheetId="49" state="visible" r:id="rId49"/>
    <sheet xmlns:r="http://schemas.openxmlformats.org/officeDocument/2006/relationships" name="VBA Macro Guide" sheetId="50" state="visible" r:id="rId50"/>
    <sheet xmlns:r="http://schemas.openxmlformats.org/officeDocument/2006/relationships" name="Segment Revenue Build" sheetId="51" state="visible" r:id="rId51"/>
    <sheet xmlns:r="http://schemas.openxmlformats.org/officeDocument/2006/relationships" name="Drift Monitor" sheetId="52" state="visible" r:id="rId52"/>
    <sheet xmlns:r="http://schemas.openxmlformats.org/officeDocument/2006/relationships" name="Credit-Equity Gap" sheetId="53" state="visible" r:id="rId53"/>
    <sheet xmlns:r="http://schemas.openxmlformats.org/officeDocument/2006/relationships" name="Backtest" sheetId="54" state="visible" r:id="rId54"/>
    <sheet xmlns:r="http://schemas.openxmlformats.org/officeDocument/2006/relationships" name="NL Editor" sheetId="55" state="visible" r:id="rId55"/>
    <sheet xmlns:r="http://schemas.openxmlformats.org/officeDocument/2006/relationships" name="Thesis Checker" sheetId="56" state="visible" r:id="rId56"/>
    <sheet xmlns:r="http://schemas.openxmlformats.org/officeDocument/2006/relationships" name="Cross-Co Interactions" sheetId="57" state="visible" r:id="rId57"/>
    <sheet xmlns:r="http://schemas.openxmlformats.org/officeDocument/2006/relationships" name="Options Overlay" sheetId="58" state="visible" r:id="rId58"/>
    <sheet xmlns:r="http://schemas.openxmlformats.org/officeDocument/2006/relationships" name="Regime Scenarios" sheetId="59" state="visible" r:id="rId59"/>
    <sheet xmlns:r="http://schemas.openxmlformats.org/officeDocument/2006/relationships" name="Platform Value" sheetId="60" state="visible" r:id="rId60"/>
    <sheet xmlns:r="http://schemas.openxmlformats.org/officeDocument/2006/relationships" name="Fat-Tail MC" sheetId="61" state="visible" r:id="rId61"/>
    <sheet xmlns:r="http://schemas.openxmlformats.org/officeDocument/2006/relationships" name="Analog Matcher" sheetId="62" state="visible" r:id="rId62"/>
    <sheet xmlns:r="http://schemas.openxmlformats.org/officeDocument/2006/relationships" name="Earnings NLP" sheetId="63" state="visible" r:id="rId63"/>
    <sheet xmlns:r="http://schemas.openxmlformats.org/officeDocument/2006/relationships" name="Alt Data" sheetId="64" state="visible" r:id="rId64"/>
    <sheet xmlns:r="http://schemas.openxmlformats.org/officeDocument/2006/relationships" name="Guidance Tracker" sheetId="65" state="visible" r:id="rId65"/>
    <sheet xmlns:r="http://schemas.openxmlformats.org/officeDocument/2006/relationships" name="Capital Structure" sheetId="66" state="visible" r:id="rId66"/>
    <sheet xmlns:r="http://schemas.openxmlformats.org/officeDocument/2006/relationships" name="Model Audit &amp; Governance" sheetId="67" state="visible" r:id="rId67"/>
    <sheet xmlns:r="http://schemas.openxmlformats.org/officeDocument/2006/relationships" name="Forward Outlook" sheetId="68" state="visible" r:id="rId68"/>
    <sheet xmlns:r="http://schemas.openxmlformats.org/officeDocument/2006/relationships" name="AI Displacement" sheetId="69" state="visible" r:id="rId69"/>
    <sheet xmlns:r="http://schemas.openxmlformats.org/officeDocument/2006/relationships" name="Mgmt Quality" sheetId="70" state="visible" r:id="rId70"/>
    <sheet xmlns:r="http://schemas.openxmlformats.org/officeDocument/2006/relationships" name="Bear Thesis" sheetId="71" state="visible" r:id="rId71"/>
    <sheet xmlns:r="http://schemas.openxmlformats.org/officeDocument/2006/relationships" name="Comp Transactions" sheetId="72" state="visible" r:id="rId72"/>
    <sheet xmlns:r="http://schemas.openxmlformats.org/officeDocument/2006/relationships" name="Earnings Quality" sheetId="73" state="visible" r:id="rId73"/>
    <sheet xmlns:r="http://schemas.openxmlformats.org/officeDocument/2006/relationships" name="ESG Integration" sheetId="74" state="visible" r:id="rId74"/>
    <sheet xmlns:r="http://schemas.openxmlformats.org/officeDocument/2006/relationships" name="Short Positioning" sheetId="75" state="visible" r:id="rId75"/>
    <sheet xmlns:r="http://schemas.openxmlformats.org/officeDocument/2006/relationships" name="Consensus Bridge" sheetId="76" state="visible" r:id="rId76"/>
    <sheet xmlns:r="http://schemas.openxmlformats.org/officeDocument/2006/relationships" name="Strategy" sheetId="77" state="visible" r:id="rId77"/>
    <sheet xmlns:r="http://schemas.openxmlformats.org/officeDocument/2006/relationships" name="Risk &amp; Drawdown" sheetId="78" state="visible" r:id="rId78"/>
    <sheet xmlns:r="http://schemas.openxmlformats.org/officeDocument/2006/relationships" name="Technical Overlay" sheetId="79" state="visible" r:id="rId79"/>
    <sheet xmlns:r="http://schemas.openxmlformats.org/officeDocument/2006/relationships" name="AI Impact" sheetId="80" state="visible" r:id="rId80"/>
    <sheet xmlns:r="http://schemas.openxmlformats.org/officeDocument/2006/relationships" name="Behavioral Trust" sheetId="81" state="visible" r:id="rId81"/>
    <sheet xmlns:r="http://schemas.openxmlformats.org/officeDocument/2006/relationships" name="Shadow Pods" sheetId="82" state="visible" r:id="rId82"/>
    <sheet xmlns:r="http://schemas.openxmlformats.org/officeDocument/2006/relationships" name="Falsifiability Thresholds" sheetId="83" state="visible" r:id="rId83"/>
    <sheet xmlns:r="http://schemas.openxmlformats.org/officeDocument/2006/relationships" name="Adversarial Stress" sheetId="84" state="visible" r:id="rId84"/>
    <sheet xmlns:r="http://schemas.openxmlformats.org/officeDocument/2006/relationships" name="Analyst Calibration" sheetId="85" state="visible" r:id="rId85"/>
  </sheets>
  <definedNames>
    <definedName name="WACC">'Assumptions'!$B$5</definedName>
    <definedName name="TGR">'Assumptions'!$B$6</definedName>
    <definedName name="GrowthY1_3">'Assumptions'!$B$7</definedName>
    <definedName name="GrowthY4_5">'Assumptions'!$B$8</definedName>
    <definedName name="EBITMargin">'Assumptions'!$B$9</definedName>
    <definedName name="DA_Pct">'Assumptions'!$B$10</definedName>
    <definedName name="CapEx_Pct">'Assumptions'!$B$11</definedName>
    <definedName name="TotalDebt">'Assumptions'!$B$31</definedName>
    <definedName name="CurrentPrice">'Assumptions'!$B$32</definedName>
    <definedName name="_xlnm.Print_Area" localSheetId="2">'Dashboard'!$A$1:$J$80</definedName>
    <definedName name="_xlnm.Print_Area" localSheetId="69">'Mgmt Quality'!$A$1:$G$45</definedName>
    <definedName name="_xlnm.Print_Area" localSheetId="70">'Bear Thesis'!$A$1:$G$38</definedName>
    <definedName name="_xlnm.Print_Area" localSheetId="71">'Comp Transactions'!$A$1:$H$38</definedName>
    <definedName name="_xlnm.Print_Area" localSheetId="72">'Earnings Quality'!$A$1:$G$45</definedName>
    <definedName name="_xlnm.Print_Area" localSheetId="73">'ESG Integration'!$A$1:$G$32</definedName>
    <definedName name="_xlnm.Print_Area" localSheetId="74">'Short Positioning'!$A$1:$G$36</definedName>
    <definedName name="_xlnm.Print_Area" localSheetId="75">'Consensus Bridge'!$A$1:$G$40</definedName>
    <definedName name="_xlnm.Print_Area" localSheetId="76">'Strategy'!$A$1:$K$105</definedName>
    <definedName name="_xlnm.Print_Area" localSheetId="77">'Risk &amp; Drawdown'!$A$1:$I$44</definedName>
    <definedName name="_xlnm.Print_Area" localSheetId="78">'Technical Overlay'!$A$1:$J$39</definedName>
    <definedName name="_xlnm.Print_Area" localSheetId="79">'AI Impact'!$A$1:$I$35</definedName>
    <definedName name="_xlnm.Print_Area" localSheetId="80">'Behavioral Trust'!$A$1:$F$38</definedName>
    <definedName name="_xlnm.Print_Area" localSheetId="81">'Shadow Pods'!$A$1:$J$14</definedName>
    <definedName name="_xlnm.Print_Area" localSheetId="82">'Falsifiability Thresholds'!$A$1:$H$16</definedName>
    <definedName name="_xlnm.Print_Area" localSheetId="83">'Adversarial Stress'!$A$1:$F$35</definedName>
    <definedName name="_xlnm.Print_Area" localSheetId="84">'Analyst Calibration'!$A$1:$H$14</definedName>
  </definedNames>
  <calcPr calcId="124519" fullCalcOnLoad="1"/>
</workbook>
</file>

<file path=xl/styles.xml><?xml version="1.0" encoding="utf-8"?>
<styleSheet xmlns="http://schemas.openxmlformats.org/spreadsheetml/2006/main">
  <numFmts count="24">
    <numFmt numFmtId="164" formatCode="$#,##0.00"/>
    <numFmt numFmtId="165" formatCode="0.0%"/>
    <numFmt numFmtId="166" formatCode="#,##0.0"/>
    <numFmt numFmtId="167" formatCode="$#,##0.0"/>
    <numFmt numFmtId="168" formatCode="0.0x"/>
    <numFmt numFmtId="169" formatCode="+0.0%;-0.0%"/>
    <numFmt numFmtId="170" formatCode="0.0"/>
    <numFmt numFmtId="171" formatCode="#,##0.1"/>
    <numFmt numFmtId="172" formatCode="$#,##0"/>
    <numFmt numFmtId="173" formatCode="&quot;$&quot;#,##0.0000"/>
    <numFmt numFmtId="174" formatCode="&quot;$&quot;#,##0.00"/>
    <numFmt numFmtId="175" formatCode="0.0%;(0.0%)"/>
    <numFmt numFmtId="176" formatCode=""/>
    <numFmt numFmtId="177" formatCode="+0.00%;-0.00%;0.00%"/>
    <numFmt numFmtId="178" formatCode="0 &quot;bps&quot;"/>
    <numFmt numFmtId="179" formatCode="+0%;-0%;0%"/>
    <numFmt numFmtId="180" formatCode="+0.0%;(0.0%)"/>
    <numFmt numFmtId="181" formatCode="#,##0 &quot;$M&quot;"/>
    <numFmt numFmtId="182" formatCode="+#,##0.0;-#,##0.0"/>
    <numFmt numFmtId="183" formatCode="+$#,##0.0;-$#,##0.0"/>
    <numFmt numFmtId="184" formatCode="+$#,##0.00;-$#,##0.00"/>
    <numFmt numFmtId="185" formatCode="0.0&quot;x&quot;"/>
    <numFmt numFmtId="186" formatCode="0.000"/>
    <numFmt numFmtId="187" formatCode="$#,##0,,&quot;B&quot;"/>
  </numFmts>
  <fonts count="180">
    <font>
      <name val="Calibri"/>
      <family val="2"/>
      <color theme="1"/>
      <sz val="11"/>
      <scheme val="minor"/>
    </font>
    <font>
      <name val="Calibri"/>
      <b val="1"/>
      <color rgb="00FFFFFF"/>
      <sz val="26"/>
    </font>
    <font>
      <name val="Calibri"/>
      <color rgb="006E6E73"/>
      <sz val="9"/>
    </font>
    <font>
      <name val="Calibri"/>
      <b val="1"/>
      <color rgb="000071E3"/>
      <sz val="16"/>
    </font>
    <font>
      <name val="Calibri"/>
      <color rgb="001D1D1F"/>
      <sz val="11"/>
    </font>
    <font>
      <name val="Calibri"/>
      <b val="1"/>
      <color rgb="006E6E73"/>
      <sz val="7"/>
    </font>
    <font>
      <name val="Calibri"/>
      <b val="1"/>
      <color rgb="001D1D1F"/>
      <sz val="11"/>
    </font>
    <font>
      <name val="Calibri"/>
      <b val="1"/>
      <color rgb="000071E3"/>
      <sz val="11"/>
    </font>
    <font>
      <name val="Calibri"/>
      <b val="1"/>
      <color rgb="006E6E73"/>
      <sz val="8"/>
    </font>
    <font>
      <name val="Calibri"/>
      <b val="1"/>
      <color rgb="001D1D1F"/>
      <sz val="8"/>
    </font>
    <font>
      <name val="Calibri"/>
      <color rgb="006E6E73"/>
      <sz val="8"/>
    </font>
    <font>
      <name val="Calibri"/>
      <color rgb="006E6E73"/>
      <sz val="7"/>
    </font>
    <font>
      <name val="Calibri"/>
      <b val="1"/>
      <color rgb="00FFFFFF"/>
      <sz val="16"/>
    </font>
    <font>
      <name val="Calibri"/>
      <color rgb="000071E3"/>
      <sz val="9"/>
    </font>
    <font>
      <name val="Calibri"/>
      <color rgb="006E6E73"/>
      <sz val="7.5"/>
    </font>
    <font>
      <name val="Calibri"/>
      <b val="1"/>
      <color rgb="001D1D1F"/>
      <sz val="14"/>
    </font>
    <font>
      <name val="Calibri"/>
      <b val="1"/>
      <color rgb="000071E3"/>
      <sz val="14"/>
    </font>
    <font>
      <name val="Calibri"/>
      <b val="1"/>
      <color rgb="00FF3B30"/>
      <sz val="14"/>
    </font>
    <font>
      <name val="Calibri"/>
      <b val="1"/>
      <color rgb="00FF3B30"/>
      <sz val="20"/>
    </font>
    <font>
      <name val="Calibri"/>
      <color rgb="001D1D1F"/>
      <sz val="8.5"/>
    </font>
    <font>
      <name val="Calibri"/>
      <b val="1"/>
      <color rgb="00FFFFFF"/>
      <sz val="8"/>
    </font>
    <font>
      <name val="Calibri"/>
      <b val="1"/>
      <color rgb="001D1D1F"/>
      <sz val="9"/>
    </font>
    <font>
      <name val="Calibri"/>
      <b val="1"/>
      <color rgb="000071E3"/>
      <sz val="9"/>
    </font>
    <font>
      <name val="Calibri"/>
      <b val="1"/>
      <color rgb="00FFFFFF"/>
      <sz val="13"/>
    </font>
    <font>
      <name val="Calibri"/>
      <b val="1"/>
      <color rgb="00FFFFFF"/>
      <sz val="9"/>
    </font>
    <font>
      <name val="Calibri"/>
      <color rgb="00000000"/>
      <sz val="9"/>
    </font>
    <font>
      <name val="Calibri"/>
      <b val="1"/>
      <color rgb="00FFFFFF"/>
      <sz val="10"/>
    </font>
    <font>
      <name val="Calibri"/>
      <b val="1"/>
      <color rgb="00FFFFFF"/>
      <sz val="11"/>
    </font>
    <font>
      <name val="Calibri"/>
      <b val="1"/>
      <color rgb="00000000"/>
      <sz val="9"/>
    </font>
    <font>
      <name val="Calibri"/>
      <color rgb="00FF3B30"/>
      <sz val="9"/>
    </font>
    <font>
      <name val="Calibri"/>
      <color rgb="0034C759"/>
      <sz val="9"/>
    </font>
    <font>
      <name val="Calibri"/>
      <b val="1"/>
      <color rgb="000071E3"/>
      <sz val="10"/>
    </font>
    <font>
      <name val="Calibri"/>
      <color rgb="000071E3"/>
      <sz val="7"/>
      <u val="single"/>
    </font>
    <font>
      <name val="Calibri"/>
      <i val="1"/>
      <color rgb="000071E3"/>
      <sz val="8"/>
    </font>
    <font>
      <name val="Calibri"/>
      <b val="1"/>
      <color rgb="0034C759"/>
      <sz val="9"/>
    </font>
    <font>
      <name val="Calibri"/>
      <i val="1"/>
      <color rgb="007F6000"/>
      <sz val="8"/>
    </font>
    <font>
      <name val="Calibri"/>
      <color rgb="00FFFFFF"/>
      <sz val="8"/>
    </font>
    <font>
      <name val="Calibri"/>
      <i val="1"/>
      <color rgb="006E6E73"/>
      <sz val="8"/>
    </font>
    <font>
      <name val="Calibri"/>
      <b val="1"/>
      <color rgb="00FFFFFF"/>
      <sz val="14"/>
    </font>
    <font>
      <name val="Calibri"/>
      <color rgb="0027AE60"/>
      <sz val="9"/>
    </font>
    <font>
      <name val="Calibri"/>
      <color rgb="00FFFFFF"/>
      <sz val="9"/>
    </font>
    <font>
      <name val="Calibri"/>
      <b val="1"/>
      <color rgb="00FF3B30"/>
      <sz val="9"/>
    </font>
    <font>
      <name val="Calibri"/>
      <b val="1"/>
      <color rgb="00FFFFFF"/>
      <sz val="12"/>
    </font>
    <font>
      <name val="Calibri"/>
      <color rgb="000071E3"/>
      <sz val="8"/>
    </font>
    <font>
      <name val="Calibri"/>
      <b val="1"/>
      <color rgb="00C41E3A"/>
      <sz val="9"/>
    </font>
    <font>
      <name val="Calibri"/>
      <b val="1"/>
      <color rgb="006E6E73"/>
      <sz val="9"/>
    </font>
    <font>
      <name val="Calibri"/>
      <b val="1"/>
      <color rgb="001A3A5C"/>
      <sz val="9"/>
    </font>
    <font>
      <name val="Calibri"/>
      <color rgb="001A3A5C"/>
      <sz val="10"/>
    </font>
    <font>
      <name val="Calibri"/>
      <b val="1"/>
      <color rgb="00375623"/>
      <sz val="9"/>
    </font>
    <font>
      <name val="Calibri"/>
      <b val="1"/>
      <color rgb="002D5C8A"/>
      <sz val="9"/>
    </font>
    <font>
      <name val="Calibri"/>
      <color rgb="002D5C8A"/>
      <sz val="10"/>
    </font>
    <font>
      <name val="Calibri"/>
      <b val="1"/>
      <color rgb="00C55A11"/>
      <sz val="9"/>
    </font>
    <font>
      <name val="Calibri"/>
      <color rgb="00C55A11"/>
      <sz val="10"/>
    </font>
    <font>
      <name val="Calibri"/>
      <color rgb="001D1D1F"/>
      <sz val="10"/>
    </font>
    <font>
      <name val="Calibri"/>
      <color rgb="00000000"/>
      <sz val="8"/>
    </font>
    <font>
      <name val="Calibri"/>
      <color rgb="001D1D1F"/>
      <sz val="9"/>
    </font>
    <font>
      <name val="Calibri"/>
      <i val="1"/>
      <color rgb="006E6E73"/>
      <sz val="9"/>
    </font>
    <font>
      <name val="Calibri"/>
      <color rgb="00375623"/>
      <sz val="9"/>
    </font>
    <font>
      <name val="Calibri"/>
      <b val="1"/>
      <color rgb="00FF8C00"/>
      <sz val="9"/>
    </font>
    <font>
      <name val="Calibri"/>
      <color rgb="00FF8C00"/>
      <sz val="9"/>
    </font>
    <font>
      <name val="Calibri"/>
      <color rgb="00C41E3A"/>
      <sz val="9"/>
    </font>
    <font>
      <name val="Courier New"/>
      <b val="1"/>
      <color rgb="000071E3"/>
      <sz val="9"/>
    </font>
    <font>
      <name val="Calibri"/>
      <color rgb="002E75B6"/>
      <sz val="9"/>
    </font>
    <font>
      <name val="Calibri"/>
      <b val="1"/>
      <color rgb="002E75B6"/>
      <sz val="9"/>
    </font>
    <font>
      <b val="1"/>
      <color rgb="00FFFFFF"/>
      <sz val="9"/>
    </font>
    <font>
      <b val="1"/>
      <sz val="9"/>
    </font>
    <font>
      <i val="1"/>
      <color rgb="006E6E73"/>
      <sz val="8"/>
    </font>
    <font>
      <b val="1"/>
      <sz val="10"/>
    </font>
    <font>
      <b val="1"/>
      <color rgb="00375623"/>
      <sz val="10"/>
    </font>
    <font>
      <i val="1"/>
      <sz val="9"/>
    </font>
    <font>
      <b val="1"/>
      <color rgb="00FFFFFF"/>
      <sz val="8"/>
    </font>
    <font>
      <b val="1"/>
      <color rgb="00375623"/>
      <sz val="8"/>
    </font>
    <font>
      <b val="1"/>
      <color rgb="00375623"/>
    </font>
    <font>
      <b val="1"/>
      <sz val="8"/>
    </font>
    <font>
      <sz val="8"/>
    </font>
    <font>
      <i val="1"/>
      <sz val="8"/>
    </font>
    <font>
      <color rgb="001D1D1F"/>
      <sz val="8"/>
    </font>
    <font>
      <b val="1"/>
      <sz val="12"/>
    </font>
    <font>
      <b val="1"/>
      <color rgb="00C41E3A"/>
      <sz val="8"/>
    </font>
    <font>
      <b val="1"/>
      <color rgb="00FF8C00"/>
      <sz val="8"/>
    </font>
    <font>
      <color rgb="00000000"/>
      <sz val="8"/>
    </font>
    <font>
      <b val="1"/>
      <color rgb="007F6000"/>
      <sz val="8"/>
    </font>
    <font>
      <b val="1"/>
      <color rgb="00375623"/>
      <sz val="9"/>
    </font>
    <font>
      <b val="1"/>
      <color rgb="007F6000"/>
      <sz val="10"/>
    </font>
    <font>
      <b val="1"/>
      <color rgb="00C41E3A"/>
    </font>
    <font>
      <name val="Calibri"/>
      <color rgb="00FF8C00"/>
      <sz val="8"/>
    </font>
    <font>
      <name val="Calibri"/>
      <color rgb="002E75B6"/>
      <sz val="8"/>
    </font>
    <font>
      <name val="Calibri"/>
      <i val="1"/>
      <color rgb="00FFFFFF"/>
      <sz val="9"/>
    </font>
    <font>
      <name val="Calibri"/>
      <b val="1"/>
      <color rgb="00375623"/>
      <sz val="8"/>
    </font>
    <font>
      <name val="Calibri"/>
      <b val="1"/>
      <color rgb="00C41E3A"/>
      <sz val="8"/>
    </font>
    <font>
      <name val="Calibri"/>
      <b val="1"/>
      <color rgb="00FF8C00"/>
      <sz val="8"/>
    </font>
    <font>
      <name val="Calibri"/>
      <i val="1"/>
      <color rgb="00AAAAAA"/>
      <sz val="8"/>
    </font>
    <font>
      <b val="1"/>
      <color rgb="00FFFFFF"/>
      <sz val="16"/>
    </font>
    <font>
      <color rgb="0000B0F0"/>
      <sz val="11"/>
    </font>
    <font>
      <color rgb="00000000"/>
      <sz val="10"/>
    </font>
    <font>
      <b val="1"/>
      <color rgb="00FFFFFF"/>
      <sz val="12"/>
    </font>
    <font>
      <color rgb="00375623"/>
      <sz val="10"/>
    </font>
    <font>
      <color rgb="00375623"/>
      <sz val="11"/>
    </font>
    <font>
      <color rgb="0000B050"/>
      <sz val="10"/>
    </font>
    <font>
      <i val="1"/>
      <color rgb="00808080"/>
      <sz val="9"/>
    </font>
    <font>
      <b val="1"/>
      <color rgb="00000000"/>
      <sz val="10"/>
    </font>
    <font>
      <b val="1"/>
      <color rgb="00000000"/>
      <sz val="11"/>
    </font>
    <font>
      <color rgb="009C0006"/>
      <sz val="10"/>
    </font>
    <font>
      <color rgb="009C0006"/>
      <sz val="11"/>
    </font>
    <font>
      <color rgb="00FF0000"/>
      <sz val="10"/>
    </font>
    <font>
      <b val="1"/>
      <color rgb="00FFFFFF"/>
      <sz val="11"/>
    </font>
    <font>
      <color rgb="00000000"/>
      <sz val="9"/>
    </font>
    <font>
      <b val="1"/>
      <color rgb="00000000"/>
      <sz val="9"/>
    </font>
    <font>
      <b val="1"/>
      <color rgb="00FF0000"/>
      <sz val="10"/>
    </font>
    <font>
      <i val="1"/>
      <color rgb="00404040"/>
      <sz val="9"/>
    </font>
    <font>
      <b val="1"/>
      <color rgb="00FFC000"/>
      <sz val="10"/>
    </font>
    <font>
      <b val="1"/>
      <color rgb="0000B050"/>
      <sz val="10"/>
    </font>
    <font>
      <b val="1"/>
      <color rgb="002E75B6"/>
      <sz val="10"/>
    </font>
    <font>
      <b val="1"/>
      <color rgb="00FFFFFF"/>
      <sz val="10"/>
    </font>
    <font>
      <color rgb="001A1A1A"/>
      <sz val="9"/>
    </font>
    <font>
      <i val="1"/>
      <color rgb="00000000"/>
      <sz val="9"/>
    </font>
    <font>
      <color rgb="00808080"/>
      <sz val="8"/>
    </font>
    <font>
      <name val="Calibri"/>
      <b val="1"/>
      <color rgb="00FFFFFF"/>
      <sz val="15"/>
    </font>
    <font>
      <name val="Calibri"/>
      <color rgb="00D0B8FF"/>
      <sz val="10"/>
    </font>
    <font>
      <name val="Calibri"/>
      <color rgb="00000000"/>
      <sz val="10"/>
    </font>
    <font>
      <name val="Calibri"/>
      <b val="1"/>
      <color rgb="000071E3"/>
      <sz val="36"/>
    </font>
    <font>
      <name val="Calibri"/>
      <b val="1"/>
      <color rgb="00000000"/>
      <sz val="10"/>
    </font>
    <font>
      <name val="Calibri"/>
      <b val="1"/>
      <color rgb="00C41E3A"/>
      <sz val="11"/>
    </font>
    <font>
      <name val="Calibri"/>
      <b val="1"/>
      <color rgb="00000000"/>
      <sz val="11"/>
    </font>
    <font>
      <name val="Calibri"/>
      <b val="1"/>
      <color rgb="00375623"/>
      <sz val="11"/>
    </font>
    <font>
      <name val="Calibri"/>
      <color rgb="00375623"/>
      <sz val="10"/>
    </font>
    <font>
      <name val="Calibri"/>
      <b val="1"/>
      <color rgb="00375623"/>
      <sz val="10"/>
    </font>
    <font>
      <name val="Calibri"/>
      <b val="1"/>
      <color rgb="00C41E3A"/>
      <sz val="10"/>
    </font>
    <font>
      <name val="Calibri"/>
      <b val="1"/>
      <color rgb="001D1D1F"/>
      <sz val="10"/>
    </font>
    <font>
      <name val="Calibri"/>
      <i val="1"/>
      <color rgb="00606060"/>
      <sz val="8"/>
    </font>
    <font>
      <name val="Calibri"/>
      <color rgb="000071E3"/>
      <sz val="10"/>
    </font>
    <font>
      <name val="Calibri"/>
      <color rgb="00000000"/>
      <sz val="11"/>
    </font>
    <font>
      <name val="Calibri"/>
      <b val="1"/>
      <color rgb="0034C759"/>
      <sz val="12"/>
    </font>
    <font>
      <name val="Calibri"/>
      <color rgb="0034C759"/>
      <sz val="11"/>
    </font>
    <font>
      <name val="Calibri"/>
      <color rgb="00555555"/>
      <sz val="11"/>
    </font>
    <font>
      <name val="Calibri"/>
      <b val="1"/>
      <color rgb="00FF3B30"/>
      <sz val="10"/>
    </font>
    <font>
      <name val="Calibri"/>
      <b val="1"/>
      <color rgb="00FF3B30"/>
      <sz val="11"/>
    </font>
    <font>
      <name val="Calibri"/>
      <i val="1"/>
      <color rgb="00000000"/>
      <sz val="9"/>
    </font>
    <font>
      <name val="Calibri"/>
      <b val="1"/>
      <color rgb="00888888"/>
      <sz val="10"/>
    </font>
    <font>
      <name val="Calibri"/>
      <color rgb="00FF3B30"/>
      <sz val="10"/>
    </font>
    <font>
      <name val="Calibri"/>
      <b val="1"/>
      <color rgb="0034C759"/>
      <sz val="11"/>
    </font>
    <font>
      <name val="Calibri"/>
      <b val="1"/>
      <color rgb="00555555"/>
      <sz val="10"/>
    </font>
    <font>
      <name val="Calibri"/>
      <b val="1"/>
      <color rgb="0034C759"/>
      <sz val="10"/>
    </font>
    <font>
      <name val="Calibri"/>
      <i val="1"/>
      <color rgb="00888888"/>
      <sz val="9"/>
    </font>
    <font>
      <name val="Calibri"/>
      <i val="1"/>
      <color rgb="00FF3B30"/>
      <sz val="9"/>
    </font>
    <font>
      <name val="Calibri"/>
      <b val="1"/>
      <color rgb="0034C759"/>
      <sz val="14"/>
    </font>
    <font>
      <name val="Calibri"/>
      <color rgb="0034C759"/>
      <sz val="10"/>
    </font>
    <font>
      <name val="Calibri"/>
      <b val="1"/>
      <color rgb="00000000"/>
      <sz val="12"/>
    </font>
    <font>
      <name val="Calibri"/>
      <b val="1"/>
      <color rgb="00888888"/>
      <sz val="9"/>
    </font>
    <font>
      <name val="Calibri"/>
      <color rgb="00888888"/>
      <sz val="9"/>
    </font>
    <font>
      <name val="Calibri"/>
      <b val="1"/>
      <color rgb="00888888"/>
      <sz val="11"/>
    </font>
    <font>
      <name val="Calibri"/>
      <b val="1"/>
      <color rgb="00FFFFFF"/>
      <sz val="17"/>
    </font>
    <font>
      <name val="Calibri"/>
      <b val="1"/>
      <color rgb="000071E3"/>
      <sz val="13"/>
    </font>
    <font>
      <name val="Calibri"/>
      <b val="1"/>
      <color rgb="001D1D1F"/>
      <sz val="13"/>
    </font>
    <font>
      <name val="Calibri"/>
      <b val="1"/>
      <color rgb="0034C759"/>
      <sz val="13"/>
    </font>
    <font>
      <name val="Calibri"/>
      <b val="1"/>
      <color rgb="0034C759"/>
      <sz val="8.5"/>
    </font>
    <font>
      <name val="Calibri"/>
      <b val="1"/>
      <color rgb="000071E3"/>
      <sz val="8.5"/>
    </font>
    <font>
      <name val="Calibri"/>
      <b val="1"/>
      <color rgb="001D1D1F"/>
      <sz val="8.5"/>
    </font>
    <font>
      <name val="Calibri"/>
      <b val="1"/>
      <color rgb="00E87722"/>
      <sz val="8.5"/>
    </font>
    <font>
      <name val="Calibri"/>
      <b val="1"/>
      <color rgb="00E87722"/>
      <sz val="9"/>
    </font>
    <font>
      <name val="Calibri"/>
      <b val="1"/>
      <color rgb="00FF3B30"/>
      <sz val="8.5"/>
    </font>
    <font>
      <name val="Calibri"/>
      <color rgb="000071E3"/>
      <sz val="7"/>
    </font>
    <font>
      <name val="Calibri"/>
      <color rgb="00FF3B30"/>
      <sz val="7"/>
    </font>
    <font>
      <name val="Calibri"/>
      <color rgb="00FF3B30"/>
      <sz val="8"/>
    </font>
    <font>
      <name val="Calibri"/>
      <b val="1"/>
      <color rgb="0034C759"/>
      <sz val="8"/>
    </font>
    <font>
      <name val="Calibri"/>
      <b val="1"/>
      <color rgb="00FF3B30"/>
      <sz val="8"/>
    </font>
    <font>
      <name val="Calibri"/>
      <b val="1"/>
      <color rgb="000071E3"/>
      <sz val="8"/>
    </font>
    <font>
      <name val="Calibri"/>
      <color rgb="006E6E73"/>
      <sz val="8.5"/>
    </font>
    <font>
      <name val="Calibri"/>
      <color rgb="000071E3"/>
      <sz val="7.5"/>
    </font>
    <font>
      <name val="Calibri"/>
      <color rgb="00FF3B30"/>
      <sz val="7.5"/>
    </font>
    <font>
      <name val="Calibri"/>
      <color rgb="00FF3B30"/>
      <sz val="8.5"/>
    </font>
    <font>
      <name val="Calibri"/>
      <color rgb="0034C759"/>
      <sz val="8.5"/>
    </font>
    <font>
      <name val="Calibri"/>
      <color rgb="000071E3"/>
      <sz val="8.5"/>
    </font>
    <font>
      <name val="Calibri"/>
      <b val="1"/>
      <color rgb="006E6E73"/>
      <sz val="8.5"/>
    </font>
    <font>
      <name val="Calibri"/>
      <color rgb="001D1D1F"/>
      <sz val="8"/>
    </font>
    <font>
      <name val="Calibri"/>
      <b val="1"/>
      <color rgb="00006400"/>
      <sz val="9"/>
    </font>
    <font>
      <name val="Calibri"/>
      <color rgb="00CC6600"/>
      <sz val="9"/>
    </font>
    <font>
      <name val="Calibri"/>
      <b val="1"/>
      <color rgb="00CC0000"/>
      <sz val="9"/>
    </font>
    <font>
      <name val="Calibri"/>
      <color rgb="000071E3"/>
      <sz val="9"/>
      <u val="single"/>
    </font>
    <font>
      <name val="Calibri"/>
      <b val="1"/>
      <color rgb="000071E3"/>
      <sz val="9"/>
      <u val="single"/>
    </font>
  </fonts>
  <fills count="22">
    <fill>
      <patternFill/>
    </fill>
    <fill>
      <patternFill patternType="gray125"/>
    </fill>
    <fill>
      <patternFill patternType="solid">
        <fgColor rgb="001D1D1F"/>
      </patternFill>
    </fill>
    <fill>
      <patternFill patternType="solid">
        <fgColor rgb="000071E3"/>
      </patternFill>
    </fill>
    <fill>
      <patternFill patternType="solid">
        <fgColor rgb="00FFFFFF"/>
      </patternFill>
    </fill>
    <fill>
      <patternFill patternType="solid">
        <fgColor rgb="00F5F5F7"/>
      </patternFill>
    </fill>
    <fill>
      <patternFill patternType="solid">
        <fgColor rgb="0034C759"/>
      </patternFill>
    </fill>
    <fill>
      <patternFill patternType="solid">
        <fgColor rgb="00FF3B30"/>
      </patternFill>
    </fill>
    <fill>
      <patternFill patternType="solid">
        <fgColor rgb="0027AE60"/>
      </patternFill>
    </fill>
    <fill>
      <patternFill patternType="solid">
        <fgColor rgb="00E67E22"/>
      </patternFill>
    </fill>
    <fill>
      <patternFill patternType="solid">
        <fgColor rgb="00C0392B"/>
      </patternFill>
    </fill>
    <fill>
      <patternFill patternType="solid">
        <fgColor rgb="006E6E73"/>
      </patternFill>
    </fill>
    <fill>
      <patternFill patternType="solid">
        <fgColor rgb="00FFE0E0"/>
      </patternFill>
    </fill>
    <fill>
      <patternFill patternType="solid">
        <fgColor rgb="00E8F5E9"/>
      </patternFill>
    </fill>
    <fill>
      <patternFill patternType="solid">
        <fgColor rgb="00375623"/>
      </patternFill>
    </fill>
    <fill>
      <patternFill patternType="solid">
        <fgColor rgb="002E75B6"/>
      </patternFill>
    </fill>
    <fill>
      <patternFill patternType="solid">
        <fgColor rgb="00E2EFDA"/>
      </patternFill>
    </fill>
    <fill>
      <patternFill patternType="solid">
        <fgColor rgb="00FFC7CE"/>
      </patternFill>
    </fill>
    <fill>
      <patternFill patternType="solid">
        <fgColor rgb="00FFEB9C"/>
      </patternFill>
    </fill>
    <fill>
      <patternFill patternType="solid">
        <fgColor rgb="00FFF2CC"/>
      </patternFill>
    </fill>
    <fill>
      <patternFill patternType="solid">
        <fgColor rgb="00C41E3A"/>
      </patternFill>
    </fill>
    <fill>
      <patternFill patternType="solid">
        <fgColor rgb="001B7A3E"/>
      </patternFill>
    </fill>
  </fills>
  <borders count="39">
    <border>
      <left/>
      <right/>
      <top/>
      <bottom/>
      <diagonal/>
    </border>
    <border>
      <bottom style="thin">
        <color rgb="00F5F5F7"/>
      </bottom>
    </border>
    <border>
      <bottom style="thin">
        <color rgb="00EBEBEB"/>
      </bottom>
    </border>
    <border>
      <right style="thin">
        <color rgb="00EBEBEB"/>
      </right>
    </border>
    <border>
      <left style="medium">
        <color rgb="000071E3"/>
      </left>
      <bottom style="thin">
        <color rgb="00EBEBEB"/>
      </bottom>
    </border>
    <border>
      <left style="medium">
        <color rgb="00DDDDDD"/>
      </left>
      <right style="thin">
        <color rgb="00DDDDDD"/>
      </right>
      <top style="medium">
        <color rgb="000071E3"/>
      </top>
      <bottom style="thin">
        <color rgb="00DDDDDD"/>
      </bottom>
    </border>
    <border>
      <left style="thin">
        <color rgb="00DDDDDD"/>
      </left>
      <right style="medium">
        <color rgb="00DDDDDD"/>
      </right>
      <top style="medium">
        <color rgb="000071E3"/>
      </top>
      <bottom style="thin">
        <color rgb="00DDDDDD"/>
      </bottom>
    </border>
    <border>
      <left style="medium">
        <color rgb="00DDDDDD"/>
      </left>
      <right style="thin">
        <color rgb="00DDDDDD"/>
      </right>
      <top style="thin">
        <color rgb="00DDDDDD"/>
      </top>
      <bottom style="medium">
        <color rgb="00DDDDDD"/>
      </bottom>
    </border>
    <border>
      <left style="thin">
        <color rgb="00DDDDDD"/>
      </left>
      <right style="medium">
        <color rgb="00DDDDDD"/>
      </right>
      <top style="thin">
        <color rgb="00DDDDDD"/>
      </top>
      <bottom style="medium">
        <color rgb="00DDDDDD"/>
      </bottom>
    </border>
    <border>
      <left/>
      <right/>
      <top style="medium">
        <color rgb="000071E3"/>
      </top>
      <bottom/>
      <diagonal/>
    </border>
    <border>
      <left/>
      <right style="thin">
        <color rgb="00DDDDDD"/>
      </right>
      <top style="medium">
        <color rgb="000071E3"/>
      </top>
      <bottom/>
      <diagonal/>
    </border>
    <border>
      <left/>
      <right style="thin">
        <color rgb="00DDDDDD"/>
      </right>
      <top style="medium">
        <color rgb="000071E3"/>
      </top>
      <bottom style="thin">
        <color rgb="00DDDDDD"/>
      </bottom>
      <diagonal/>
    </border>
    <border>
      <left/>
      <right/>
      <top style="thin">
        <color rgb="00DDDDDD"/>
      </top>
      <bottom/>
      <diagonal/>
    </border>
    <border>
      <left/>
      <right style="thin">
        <color rgb="00DDDDDD"/>
      </right>
      <top style="thin">
        <color rgb="00DDDDDD"/>
      </top>
      <bottom/>
      <diagonal/>
    </border>
    <border>
      <left/>
      <right style="thin">
        <color rgb="00DDDDDD"/>
      </right>
      <top style="thin">
        <color rgb="00DDDDDD"/>
      </top>
      <bottom style="medium">
        <color rgb="00DDDDDD"/>
      </bottom>
      <diagonal/>
    </border>
    <border>
      <left style="medium">
        <color rgb="00FF3B30"/>
      </left>
      <right style="thin">
        <color rgb="00DDDDDD"/>
      </right>
      <top style="medium">
        <color rgb="00FF3B30"/>
      </top>
      <bottom style="medium">
        <color rgb="00FF3B30"/>
      </bottom>
    </border>
    <border>
      <left style="thin">
        <color rgb="00DDDDDD"/>
      </left>
      <bottom style="thin">
        <color rgb="00EBEBEB"/>
      </bottom>
    </border>
    <border>
      <left style="thin">
        <color rgb="00F5F5F7"/>
      </left>
      <right style="thin">
        <color rgb="00F5F5F7"/>
      </right>
      <top style="thin">
        <color rgb="00F5F5F7"/>
      </top>
      <bottom style="thin">
        <color rgb="00F5F5F7"/>
      </bottom>
    </border>
    <border>
      <right style="thin">
        <color rgb="00F5F5F7"/>
      </right>
    </border>
    <border>
      <left style="medium">
        <color rgb="00F5F5F7"/>
      </left>
      <right style="medium">
        <color rgb="00F5F5F7"/>
      </right>
      <top style="medium">
        <color rgb="00F5F5F7"/>
      </top>
      <bottom style="medium">
        <color rgb="00F5F5F7"/>
      </bottom>
    </border>
    <border>
      <left style="medium">
        <color rgb="00C41E3A"/>
      </left>
      <right style="medium">
        <color rgb="00C41E3A"/>
      </right>
      <top style="medium">
        <color rgb="00C41E3A"/>
      </top>
      <bottom style="medium">
        <color rgb="00C41E3A"/>
      </bottom>
    </border>
    <border>
      <left style="medium">
        <color rgb="001D1D1F"/>
      </left>
      <right style="medium">
        <color rgb="001D1D1F"/>
      </right>
      <top style="medium">
        <color rgb="001D1D1F"/>
      </top>
      <bottom style="medium">
        <color rgb="001D1D1F"/>
      </bottom>
    </border>
    <border>
      <left style="medium">
        <color rgb="0034C759"/>
      </left>
      <right style="medium">
        <color rgb="0034C759"/>
      </right>
      <top style="medium">
        <color rgb="0034C759"/>
      </top>
      <bottom style="medium">
        <color rgb="0034C759"/>
      </bottom>
    </border>
    <border>
      <left style="medium">
        <color rgb="006E6E73"/>
      </left>
      <right style="medium">
        <color rgb="006E6E73"/>
      </right>
      <top style="medium">
        <color rgb="006E6E73"/>
      </top>
      <bottom style="medium">
        <color rgb="006E6E73"/>
      </bottom>
    </border>
    <border>
      <right/>
      <bottom style="thin">
        <color rgb="00F5F5F7"/>
      </bottom>
    </border>
    <border>
      <left/>
      <right/>
      <top/>
      <bottom style="thin">
        <color rgb="00F5F5F7"/>
      </bottom>
      <diagonal/>
    </border>
    <border>
      <left style="thin">
        <color rgb="00CCCCCC"/>
      </left>
      <right style="thin">
        <color rgb="00CCCCCC"/>
      </right>
      <top style="thin">
        <color rgb="00CCCCCC"/>
      </top>
      <bottom style="thin">
        <color rgb="00CCCCCC"/>
      </bottom>
    </border>
    <border>
      <left style="thin">
        <color rgb="00BBCCBB"/>
      </left>
      <right style="thin">
        <color rgb="00BBCCBB"/>
      </right>
      <top style="thin">
        <color rgb="00BBCCBB"/>
      </top>
      <bottom style="thin">
        <color rgb="00BBCCBB"/>
      </bottom>
    </border>
    <border>
      <left style="thin">
        <color rgb="00E0E0E0"/>
      </left>
      <right style="thin">
        <color rgb="00E0E0E0"/>
      </right>
      <top style="medium">
        <color rgb="000071E3"/>
      </top>
    </border>
    <border>
      <left/>
      <right style="thin">
        <color rgb="00E0E0E0"/>
      </right>
      <top style="medium">
        <color rgb="000071E3"/>
      </top>
      <bottom/>
      <diagonal/>
    </border>
    <border>
      <left style="thin">
        <color rgb="00E0E0E0"/>
      </left>
      <right style="thin">
        <color rgb="00E0E0E0"/>
      </right>
      <top style="medium">
        <color rgb="001D1D1F"/>
      </top>
    </border>
    <border>
      <left/>
      <right/>
      <top style="medium">
        <color rgb="001D1D1F"/>
      </top>
      <bottom/>
      <diagonal/>
    </border>
    <border>
      <left/>
      <right style="thin">
        <color rgb="00E0E0E0"/>
      </right>
      <top style="medium">
        <color rgb="001D1D1F"/>
      </top>
      <bottom/>
      <diagonal/>
    </border>
    <border>
      <left style="thin">
        <color rgb="00E0E0E0"/>
      </left>
      <right style="thin">
        <color rgb="00E0E0E0"/>
      </right>
      <top style="medium">
        <color rgb="0034C759"/>
      </top>
    </border>
    <border>
      <left/>
      <right/>
      <top/>
      <bottom style="thin">
        <color rgb="00EBEBEB"/>
      </bottom>
      <diagonal/>
    </border>
    <border>
      <bottom style="thin">
        <color rgb="000071E3"/>
      </bottom>
    </border>
    <border>
      <left/>
      <right/>
      <top/>
      <bottom style="thin">
        <color rgb="000071E3"/>
      </bottom>
      <diagonal/>
    </border>
    <border>
      <left style="thin">
        <color rgb="00E0E0E0"/>
      </left>
      <right style="thin">
        <color rgb="00E0E0E0"/>
      </right>
      <top style="medium">
        <color rgb="00FF3B30"/>
      </top>
    </border>
    <border>
      <left style="thin">
        <color rgb="00E0E0E0"/>
      </left>
      <right style="thin">
        <color rgb="00E0E0E0"/>
      </right>
      <bottom style="thin">
        <color rgb="00E0E0E0"/>
      </bottom>
    </border>
  </borders>
  <cellStyleXfs count="1">
    <xf numFmtId="0" fontId="0" fillId="0" borderId="0"/>
  </cellStyleXfs>
  <cellXfs count="865">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2" borderId="0" applyAlignment="1" pivotButton="0" quotePrefix="0" xfId="0">
      <alignment horizontal="left" vertical="center"/>
    </xf>
    <xf numFmtId="0" fontId="0" fillId="3" borderId="0" pivotButton="0" quotePrefix="0" xfId="0"/>
    <xf numFmtId="0" fontId="0" fillId="4" borderId="0" pivotButton="0" quotePrefix="0" xfId="0"/>
    <xf numFmtId="0" fontId="3" fillId="4" borderId="0" applyAlignment="1" pivotButton="0" quotePrefix="0" xfId="0">
      <alignment horizontal="left" vertical="center"/>
    </xf>
    <xf numFmtId="0" fontId="4" fillId="4" borderId="0" applyAlignment="1" pivotButton="0" quotePrefix="0" xfId="0">
      <alignment horizontal="left" vertical="center"/>
    </xf>
    <xf numFmtId="0" fontId="0" fillId="0" borderId="1" pivotButton="0" quotePrefix="0" xfId="0"/>
    <xf numFmtId="0" fontId="5" fillId="5" borderId="1" applyAlignment="1" pivotButton="0" quotePrefix="0" xfId="0">
      <alignment horizontal="left" vertical="center"/>
    </xf>
    <xf numFmtId="0" fontId="0" fillId="5" borderId="0" pivotButton="0" quotePrefix="0" xfId="0"/>
    <xf numFmtId="0" fontId="2" fillId="4" borderId="2" applyAlignment="1" pivotButton="0" quotePrefix="0" xfId="0">
      <alignment horizontal="left" vertical="center"/>
    </xf>
    <xf numFmtId="0" fontId="6" fillId="4" borderId="2" applyAlignment="1" pivotButton="0" quotePrefix="0" xfId="0">
      <alignment horizontal="right" vertical="center"/>
    </xf>
    <xf numFmtId="0" fontId="0" fillId="4" borderId="2" pivotButton="0" quotePrefix="0" xfId="0"/>
    <xf numFmtId="0" fontId="7" fillId="4" borderId="2" applyAlignment="1" pivotButton="0" quotePrefix="0" xfId="0">
      <alignment horizontal="right" vertical="center"/>
    </xf>
    <xf numFmtId="0" fontId="5" fillId="4" borderId="1" applyAlignment="1" pivotButton="0" quotePrefix="0" xfId="0">
      <alignment horizontal="left" vertical="center"/>
    </xf>
    <xf numFmtId="0" fontId="8" fillId="5" borderId="3" applyAlignment="1" pivotButton="0" quotePrefix="0" xfId="0">
      <alignment horizontal="center" vertical="center"/>
    </xf>
    <xf numFmtId="0" fontId="8" fillId="4" borderId="3" applyAlignment="1" pivotButton="0" quotePrefix="0" xfId="0">
      <alignment horizontal="center" vertical="center"/>
    </xf>
    <xf numFmtId="0" fontId="9" fillId="4" borderId="4" applyAlignment="1" pivotButton="0" quotePrefix="0" xfId="0">
      <alignment horizontal="left" vertical="center"/>
    </xf>
    <xf numFmtId="0" fontId="10" fillId="4" borderId="2" applyAlignment="1" pivotButton="0" quotePrefix="0" xfId="0">
      <alignment horizontal="left" vertical="center"/>
    </xf>
    <xf numFmtId="0" fontId="11" fillId="2" borderId="0" applyAlignment="1" pivotButton="0" quotePrefix="0" xfId="0">
      <alignment horizontal="left" vertical="center"/>
    </xf>
    <xf numFmtId="0" fontId="23" fillId="2" borderId="0" applyAlignment="1" pivotButton="0" quotePrefix="0" xfId="0">
      <alignment horizontal="left" vertical="center"/>
    </xf>
    <xf numFmtId="0" fontId="32" fillId="5" borderId="18" applyAlignment="1" pivotButton="0" quotePrefix="0" xfId="0">
      <alignment horizontal="center" vertical="center"/>
    </xf>
    <xf numFmtId="0" fontId="24" fillId="3" borderId="17" applyAlignment="1" pivotButton="0" quotePrefix="0" xfId="0">
      <alignment horizontal="center" vertical="center"/>
    </xf>
    <xf numFmtId="0" fontId="2" fillId="4" borderId="1" applyAlignment="1" pivotButton="0" quotePrefix="0" xfId="0">
      <alignment horizontal="center" vertical="center"/>
    </xf>
    <xf numFmtId="0" fontId="178" fillId="4" borderId="1" pivotButton="0" quotePrefix="0" xfId="0"/>
    <xf numFmtId="0" fontId="2" fillId="4" borderId="1" pivotButton="0" quotePrefix="0" xfId="0"/>
    <xf numFmtId="0" fontId="2" fillId="5" borderId="1" applyAlignment="1" pivotButton="0" quotePrefix="0" xfId="0">
      <alignment horizontal="center" vertical="center"/>
    </xf>
    <xf numFmtId="0" fontId="178" fillId="5" borderId="1" pivotButton="0" quotePrefix="0" xfId="0"/>
    <xf numFmtId="0" fontId="2" fillId="5" borderId="1" pivotButton="0" quotePrefix="0" xfId="0"/>
    <xf numFmtId="0" fontId="179" fillId="4" borderId="1" pivotButton="0" quotePrefix="0" xfId="0"/>
    <xf numFmtId="0" fontId="21" fillId="4" borderId="1" pivotButton="0" quotePrefix="0" xfId="0"/>
    <xf numFmtId="0" fontId="179" fillId="5" borderId="1" pivotButton="0" quotePrefix="0" xfId="0"/>
    <xf numFmtId="0" fontId="21" fillId="5" borderId="1" pivotButton="0" quotePrefix="0" xfId="0"/>
    <xf numFmtId="0" fontId="21" fillId="5" borderId="0" applyAlignment="1" pivotButton="0" quotePrefix="0" xfId="0">
      <alignment horizontal="left" vertical="top" wrapText="1"/>
    </xf>
    <xf numFmtId="0" fontId="12" fillId="2" borderId="0" applyAlignment="1" pivotButton="0" quotePrefix="0" xfId="0">
      <alignment horizontal="left" vertical="center"/>
    </xf>
    <xf numFmtId="0" fontId="13" fillId="2" borderId="0" applyAlignment="1" pivotButton="0" quotePrefix="0" xfId="0">
      <alignment horizontal="left" vertical="center"/>
    </xf>
    <xf numFmtId="0" fontId="2" fillId="2" borderId="0" applyAlignment="1" pivotButton="0" quotePrefix="0" xfId="0">
      <alignment horizontal="right" vertical="center"/>
    </xf>
    <xf numFmtId="0" fontId="14" fillId="4" borderId="5" applyAlignment="1" pivotButton="0" quotePrefix="0" xfId="0">
      <alignment horizontal="center" vertical="bottom"/>
    </xf>
    <xf numFmtId="0" fontId="0" fillId="0" borderId="11" pivotButton="0" quotePrefix="0" xfId="0"/>
    <xf numFmtId="0" fontId="15" fillId="4" borderId="7" applyAlignment="1" pivotButton="0" quotePrefix="0" xfId="0">
      <alignment horizontal="center" vertical="top"/>
    </xf>
    <xf numFmtId="0" fontId="0" fillId="0" borderId="14" pivotButton="0" quotePrefix="0" xfId="0"/>
    <xf numFmtId="0" fontId="16" fillId="4" borderId="7" applyAlignment="1" pivotButton="0" quotePrefix="0" xfId="0">
      <alignment horizontal="center" vertical="top"/>
    </xf>
    <xf numFmtId="0" fontId="17" fillId="4" borderId="7" applyAlignment="1" pivotButton="0" quotePrefix="0" xfId="0">
      <alignment horizontal="center" vertical="top"/>
    </xf>
    <xf numFmtId="0" fontId="18" fillId="4" borderId="15" applyAlignment="1" pivotButton="0" quotePrefix="0" xfId="0">
      <alignment horizontal="left" vertical="center"/>
    </xf>
    <xf numFmtId="0" fontId="6" fillId="4" borderId="0" applyAlignment="1" pivotButton="0" quotePrefix="0" xfId="0">
      <alignment horizontal="left" vertical="center"/>
    </xf>
    <xf numFmtId="0" fontId="19" fillId="5" borderId="0" applyAlignment="1" pivotButton="0" quotePrefix="0" xfId="0">
      <alignment horizontal="left" vertical="center" wrapText="1"/>
    </xf>
    <xf numFmtId="0" fontId="20" fillId="2" borderId="0" applyAlignment="1" pivotButton="0" quotePrefix="0" xfId="0">
      <alignment horizontal="left" vertical="center"/>
    </xf>
    <xf numFmtId="0" fontId="10" fillId="5" borderId="2" applyAlignment="1" pivotButton="0" quotePrefix="0" xfId="0">
      <alignment horizontal="left" vertical="center"/>
    </xf>
    <xf numFmtId="0" fontId="21" fillId="5" borderId="2" applyAlignment="1" pivotButton="0" quotePrefix="0" xfId="0">
      <alignment horizontal="right" vertical="center"/>
    </xf>
    <xf numFmtId="0" fontId="0" fillId="5" borderId="16" pivotButton="0" quotePrefix="0" xfId="0"/>
    <xf numFmtId="0" fontId="22" fillId="5" borderId="2" applyAlignment="1" pivotButton="0" quotePrefix="0" xfId="0">
      <alignment horizontal="right" vertical="center"/>
    </xf>
    <xf numFmtId="0" fontId="21" fillId="4" borderId="2" applyAlignment="1" pivotButton="0" quotePrefix="0" xfId="0">
      <alignment horizontal="right" vertical="center"/>
    </xf>
    <xf numFmtId="0" fontId="0" fillId="4" borderId="16" pivotButton="0" quotePrefix="0" xfId="0"/>
    <xf numFmtId="0" fontId="22" fillId="4" borderId="2" applyAlignment="1" pivotButton="0" quotePrefix="0" xfId="0">
      <alignment horizontal="right" vertical="center"/>
    </xf>
    <xf numFmtId="0" fontId="25" fillId="5" borderId="0" applyAlignment="1" pivotButton="0" quotePrefix="0" xfId="0">
      <alignment horizontal="left" vertical="center"/>
    </xf>
    <xf numFmtId="0" fontId="24" fillId="3" borderId="0" applyAlignment="1" pivotButton="0" quotePrefix="0" xfId="0">
      <alignment horizontal="center" vertical="center"/>
    </xf>
    <xf numFmtId="0" fontId="25" fillId="5" borderId="0" applyAlignment="1" pivotButton="0" quotePrefix="0" xfId="0">
      <alignment horizontal="center" vertical="center"/>
    </xf>
    <xf numFmtId="0" fontId="25" fillId="4" borderId="0" applyAlignment="1" pivotButton="0" quotePrefix="0" xfId="0">
      <alignment horizontal="left" vertical="center"/>
    </xf>
    <xf numFmtId="0" fontId="25" fillId="4" borderId="0" applyAlignment="1" pivotButton="0" quotePrefix="0" xfId="0">
      <alignment horizontal="center" vertical="center"/>
    </xf>
    <xf numFmtId="0" fontId="26" fillId="2" borderId="0" pivotButton="0" quotePrefix="0" xfId="0"/>
    <xf numFmtId="0" fontId="27" fillId="3" borderId="0" applyAlignment="1" pivotButton="0" quotePrefix="0" xfId="0">
      <alignment horizontal="center" vertical="center"/>
    </xf>
    <xf numFmtId="0" fontId="28" fillId="0" borderId="0" pivotButton="0" quotePrefix="0" xfId="0"/>
    <xf numFmtId="0" fontId="24" fillId="3" borderId="1" applyAlignment="1" pivotButton="0" quotePrefix="0" xfId="0">
      <alignment horizontal="left" vertical="center"/>
    </xf>
    <xf numFmtId="164" fontId="25" fillId="5" borderId="0" applyAlignment="1" pivotButton="0" quotePrefix="0" xfId="0">
      <alignment horizontal="center" vertical="center"/>
    </xf>
    <xf numFmtId="0" fontId="29" fillId="5" borderId="0" applyAlignment="1" pivotButton="0" quotePrefix="0" xfId="0">
      <alignment horizontal="center" vertical="center"/>
    </xf>
    <xf numFmtId="164" fontId="25" fillId="4" borderId="0" applyAlignment="1" pivotButton="0" quotePrefix="0" xfId="0">
      <alignment horizontal="center" vertical="center"/>
    </xf>
    <xf numFmtId="0" fontId="29" fillId="4" borderId="0" applyAlignment="1" pivotButton="0" quotePrefix="0" xfId="0">
      <alignment horizontal="center" vertical="center"/>
    </xf>
    <xf numFmtId="0" fontId="30" fillId="5" borderId="0" applyAlignment="1" pivotButton="0" quotePrefix="0" xfId="0">
      <alignment horizontal="center" vertical="center"/>
    </xf>
    <xf numFmtId="0" fontId="13" fillId="4" borderId="0" applyAlignment="1" pivotButton="0" quotePrefix="0" xfId="0">
      <alignment horizontal="center" vertical="center"/>
    </xf>
    <xf numFmtId="0" fontId="13" fillId="5" borderId="0" applyAlignment="1" pivotButton="0" quotePrefix="0" xfId="0">
      <alignment horizontal="center" vertical="center"/>
    </xf>
    <xf numFmtId="0" fontId="30" fillId="4" borderId="0" applyAlignment="1" pivotButton="0" quotePrefix="0" xfId="0">
      <alignment horizontal="center" vertical="center"/>
    </xf>
    <xf numFmtId="0" fontId="7" fillId="2" borderId="0" pivotButton="0" quotePrefix="0" xfId="0"/>
    <xf numFmtId="165" fontId="25" fillId="5" borderId="0" applyAlignment="1" pivotButton="0" quotePrefix="0" xfId="0">
      <alignment horizontal="center" vertical="center"/>
    </xf>
    <xf numFmtId="166" fontId="25" fillId="5" borderId="0" applyAlignment="1" pivotButton="0" quotePrefix="0" xfId="0">
      <alignment horizontal="center" vertical="center"/>
    </xf>
    <xf numFmtId="164" fontId="28" fillId="5" borderId="0" applyAlignment="1" pivotButton="0" quotePrefix="0" xfId="0">
      <alignment horizontal="center" vertical="center"/>
    </xf>
    <xf numFmtId="0" fontId="24" fillId="2" borderId="1" applyAlignment="1" pivotButton="0" quotePrefix="0" xfId="0">
      <alignment horizontal="left" vertical="center"/>
    </xf>
    <xf numFmtId="0" fontId="28" fillId="5" borderId="0" pivotButton="0" quotePrefix="0" xfId="0"/>
    <xf numFmtId="0" fontId="25" fillId="5" borderId="0" pivotButton="0" quotePrefix="0" xfId="0"/>
    <xf numFmtId="0" fontId="28" fillId="4" borderId="0" pivotButton="0" quotePrefix="0" xfId="0"/>
    <xf numFmtId="0" fontId="25" fillId="4" borderId="0" pivotButton="0" quotePrefix="0" xfId="0"/>
    <xf numFmtId="166" fontId="25" fillId="4" borderId="0" applyAlignment="1" pivotButton="0" quotePrefix="0" xfId="0">
      <alignment horizontal="center" vertical="center"/>
    </xf>
    <xf numFmtId="166" fontId="28" fillId="4" borderId="0" pivotButton="0" quotePrefix="0" xfId="0"/>
    <xf numFmtId="164" fontId="28" fillId="4" borderId="0" pivotButton="0" quotePrefix="0" xfId="0"/>
    <xf numFmtId="167" fontId="25" fillId="5" borderId="0" applyAlignment="1" pivotButton="0" quotePrefix="0" xfId="0">
      <alignment horizontal="center" vertical="center"/>
    </xf>
    <xf numFmtId="167" fontId="25" fillId="4" borderId="0" applyAlignment="1" pivotButton="0" quotePrefix="0" xfId="0">
      <alignment horizontal="center" vertical="center"/>
    </xf>
    <xf numFmtId="0" fontId="24" fillId="2" borderId="0" applyAlignment="1" pivotButton="0" quotePrefix="0" xfId="0">
      <alignment horizontal="left" vertical="center"/>
    </xf>
    <xf numFmtId="167" fontId="24" fillId="2" borderId="0" applyAlignment="1" pivotButton="0" quotePrefix="0" xfId="0">
      <alignment horizontal="center" vertical="center"/>
    </xf>
    <xf numFmtId="0" fontId="24" fillId="2" borderId="0" pivotButton="0" quotePrefix="0" xfId="0"/>
    <xf numFmtId="164" fontId="24" fillId="2" borderId="0" applyAlignment="1" pivotButton="0" quotePrefix="0" xfId="0">
      <alignment horizontal="center" vertical="center"/>
    </xf>
    <xf numFmtId="168" fontId="25" fillId="5" borderId="0" applyAlignment="1" pivotButton="0" quotePrefix="0" xfId="0">
      <alignment horizontal="center" vertical="center"/>
    </xf>
    <xf numFmtId="168" fontId="25" fillId="4" borderId="0" applyAlignment="1" pivotButton="0" quotePrefix="0" xfId="0">
      <alignment horizontal="center" vertical="center"/>
    </xf>
    <xf numFmtId="165" fontId="25" fillId="4" borderId="0" applyAlignment="1" pivotButton="0" quotePrefix="0" xfId="0">
      <alignment horizontal="center" vertical="center"/>
    </xf>
    <xf numFmtId="166" fontId="31" fillId="2" borderId="0" pivotButton="0" quotePrefix="0" xfId="0"/>
    <xf numFmtId="166" fontId="25" fillId="4" borderId="0" pivotButton="0" quotePrefix="0" xfId="0"/>
    <xf numFmtId="166" fontId="22" fillId="2" borderId="0" pivotButton="0" quotePrefix="0" xfId="0"/>
    <xf numFmtId="164" fontId="25" fillId="4" borderId="0" pivotButton="0" quotePrefix="0" xfId="0"/>
    <xf numFmtId="9" fontId="25" fillId="5" borderId="0" applyAlignment="1" pivotButton="0" quotePrefix="0" xfId="0">
      <alignment horizontal="center" vertical="center"/>
    </xf>
    <xf numFmtId="9" fontId="25" fillId="4" borderId="0" applyAlignment="1" pivotButton="0" quotePrefix="0" xfId="0">
      <alignment horizontal="center" vertical="center"/>
    </xf>
    <xf numFmtId="164" fontId="26" fillId="6" borderId="0" pivotButton="0" quotePrefix="0" xfId="0"/>
    <xf numFmtId="0" fontId="33" fillId="5" borderId="0" applyAlignment="1" pivotButton="0" quotePrefix="0" xfId="0">
      <alignment horizontal="left" vertical="center"/>
    </xf>
    <xf numFmtId="0" fontId="24" fillId="7" borderId="1" applyAlignment="1" pivotButton="0" quotePrefix="0" xfId="0">
      <alignment horizontal="left" vertical="center"/>
    </xf>
    <xf numFmtId="3" fontId="25" fillId="4" borderId="0" applyAlignment="1" pivotButton="0" quotePrefix="0" xfId="0">
      <alignment horizontal="right" vertical="center"/>
    </xf>
    <xf numFmtId="165" fontId="2" fillId="4" borderId="0" applyAlignment="1" pivotButton="0" quotePrefix="0" xfId="0">
      <alignment horizontal="center" vertical="center"/>
    </xf>
    <xf numFmtId="3" fontId="2" fillId="4" borderId="0" applyAlignment="1" pivotButton="0" quotePrefix="0" xfId="0">
      <alignment horizontal="right" vertical="center"/>
    </xf>
    <xf numFmtId="3" fontId="29" fillId="4" borderId="0" applyAlignment="1" pivotButton="0" quotePrefix="0" xfId="0">
      <alignment horizontal="right" vertical="center"/>
    </xf>
    <xf numFmtId="3" fontId="28" fillId="5" borderId="17" applyAlignment="1" pivotButton="0" quotePrefix="0" xfId="0">
      <alignment horizontal="right" vertical="center"/>
    </xf>
    <xf numFmtId="3" fontId="25" fillId="5" borderId="0" applyAlignment="1" pivotButton="0" quotePrefix="0" xfId="0">
      <alignment horizontal="right" vertical="center"/>
    </xf>
    <xf numFmtId="165" fontId="2" fillId="5" borderId="0" applyAlignment="1" pivotButton="0" quotePrefix="0" xfId="0">
      <alignment horizontal="center" vertical="center"/>
    </xf>
    <xf numFmtId="3" fontId="2" fillId="5" borderId="0" applyAlignment="1" pivotButton="0" quotePrefix="0" xfId="0">
      <alignment horizontal="right" vertical="center"/>
    </xf>
    <xf numFmtId="3" fontId="29" fillId="5" borderId="0" applyAlignment="1" pivotButton="0" quotePrefix="0" xfId="0">
      <alignment horizontal="right" vertical="center"/>
    </xf>
    <xf numFmtId="165" fontId="10" fillId="0" borderId="0" pivotButton="0" quotePrefix="0" xfId="0"/>
    <xf numFmtId="0" fontId="10" fillId="5" borderId="0" pivotButton="0" quotePrefix="0" xfId="0"/>
    <xf numFmtId="10" fontId="13" fillId="5" borderId="0" applyAlignment="1" pivotButton="0" quotePrefix="0" xfId="0">
      <alignment horizontal="right" vertical="center"/>
    </xf>
    <xf numFmtId="0" fontId="10" fillId="4" borderId="0" pivotButton="0" quotePrefix="0" xfId="0"/>
    <xf numFmtId="3" fontId="28" fillId="4" borderId="0" applyAlignment="1" pivotButton="0" quotePrefix="0" xfId="0">
      <alignment horizontal="right" vertical="center"/>
    </xf>
    <xf numFmtId="3" fontId="31" fillId="2" borderId="0" applyAlignment="1" pivotButton="0" quotePrefix="0" xfId="0">
      <alignment horizontal="right" vertical="center"/>
    </xf>
    <xf numFmtId="164" fontId="34" fillId="5" borderId="0" applyAlignment="1" pivotButton="0" quotePrefix="0" xfId="0">
      <alignment horizontal="right" vertical="center"/>
    </xf>
    <xf numFmtId="169" fontId="28" fillId="4" borderId="0" applyAlignment="1" pivotButton="0" quotePrefix="0" xfId="0">
      <alignment horizontal="right" vertical="center"/>
    </xf>
    <xf numFmtId="10" fontId="13" fillId="4" borderId="0" applyAlignment="1" pivotButton="0" quotePrefix="0" xfId="0">
      <alignment horizontal="right" vertical="center"/>
    </xf>
    <xf numFmtId="3" fontId="28" fillId="5" borderId="0" applyAlignment="1" pivotButton="0" quotePrefix="0" xfId="0">
      <alignment horizontal="right" vertical="center"/>
    </xf>
    <xf numFmtId="164" fontId="34" fillId="4" borderId="0" applyAlignment="1" pivotButton="0" quotePrefix="0" xfId="0">
      <alignment horizontal="right" vertical="center"/>
    </xf>
    <xf numFmtId="169" fontId="28" fillId="5" borderId="0" applyAlignment="1" pivotButton="0" quotePrefix="0" xfId="0">
      <alignment horizontal="right" vertical="center"/>
    </xf>
    <xf numFmtId="0" fontId="24" fillId="6" borderId="1" applyAlignment="1" pivotButton="0" quotePrefix="0" xfId="0">
      <alignment horizontal="left" vertical="center"/>
    </xf>
    <xf numFmtId="0" fontId="33" fillId="5" borderId="0" pivotButton="0" quotePrefix="0" xfId="0"/>
    <xf numFmtId="0" fontId="24" fillId="2" borderId="0" applyAlignment="1" pivotButton="0" quotePrefix="0" xfId="0">
      <alignment horizontal="center" vertical="center"/>
    </xf>
    <xf numFmtId="165" fontId="24" fillId="3" borderId="0" applyAlignment="1" pivotButton="0" quotePrefix="0" xfId="0">
      <alignment horizontal="center" vertical="center"/>
    </xf>
    <xf numFmtId="164" fontId="25" fillId="0" borderId="17" applyAlignment="1" pivotButton="0" quotePrefix="0" xfId="0">
      <alignment horizontal="center" vertical="center"/>
    </xf>
    <xf numFmtId="9" fontId="24" fillId="3" borderId="0" applyAlignment="1" pivotButton="0" quotePrefix="0" xfId="0">
      <alignment horizontal="center" vertical="center"/>
    </xf>
    <xf numFmtId="165" fontId="25" fillId="0" borderId="17" applyAlignment="1" pivotButton="0" quotePrefix="0" xfId="0">
      <alignment horizontal="center" vertical="center"/>
    </xf>
    <xf numFmtId="168" fontId="22" fillId="2" borderId="0" applyAlignment="1" pivotButton="0" quotePrefix="0" xfId="0">
      <alignment horizontal="center" vertical="center"/>
    </xf>
    <xf numFmtId="165" fontId="22" fillId="2" borderId="0" applyAlignment="1" pivotButton="0" quotePrefix="0" xfId="0">
      <alignment horizontal="center" vertical="center"/>
    </xf>
    <xf numFmtId="3" fontId="25" fillId="5" borderId="0" applyAlignment="1" pivotButton="0" quotePrefix="0" xfId="0">
      <alignment horizontal="center" vertical="center"/>
    </xf>
    <xf numFmtId="0" fontId="10" fillId="0" borderId="0" pivotButton="0" quotePrefix="0" xfId="0"/>
    <xf numFmtId="3" fontId="25" fillId="4" borderId="0" applyAlignment="1" pivotButton="0" quotePrefix="0" xfId="0">
      <alignment horizontal="center" vertical="center"/>
    </xf>
    <xf numFmtId="0" fontId="35" fillId="5" borderId="0" applyAlignment="1" pivotButton="0" quotePrefix="0" xfId="0">
      <alignment horizontal="left" vertical="center" wrapText="1"/>
    </xf>
    <xf numFmtId="166" fontId="25" fillId="5" borderId="0" applyAlignment="1" pivotButton="0" quotePrefix="0" xfId="0">
      <alignment horizontal="right" vertical="center"/>
    </xf>
    <xf numFmtId="166" fontId="25" fillId="4" borderId="0" applyAlignment="1" pivotButton="0" quotePrefix="0" xfId="0">
      <alignment horizontal="right" vertical="center"/>
    </xf>
    <xf numFmtId="168" fontId="25" fillId="4" borderId="0" applyAlignment="1" pivotButton="0" quotePrefix="0" xfId="0">
      <alignment horizontal="right" vertical="center"/>
    </xf>
    <xf numFmtId="165" fontId="25" fillId="5" borderId="0" applyAlignment="1" pivotButton="0" quotePrefix="0" xfId="0">
      <alignment horizontal="right" vertical="center"/>
    </xf>
    <xf numFmtId="1" fontId="25" fillId="4" borderId="0" applyAlignment="1" pivotButton="0" quotePrefix="0" xfId="0">
      <alignment horizontal="right" vertical="center"/>
    </xf>
    <xf numFmtId="168" fontId="26" fillId="2" borderId="17" applyAlignment="1" pivotButton="0" quotePrefix="0" xfId="0">
      <alignment horizontal="right" vertical="center"/>
    </xf>
    <xf numFmtId="0" fontId="36" fillId="2" borderId="0" pivotButton="0" quotePrefix="0" xfId="0"/>
    <xf numFmtId="0" fontId="24" fillId="3" borderId="0" applyAlignment="1" pivotButton="0" quotePrefix="0" xfId="0">
      <alignment horizontal="left" vertical="center"/>
    </xf>
    <xf numFmtId="165" fontId="26" fillId="3" borderId="17" applyAlignment="1" pivotButton="0" quotePrefix="0" xfId="0">
      <alignment horizontal="right" vertical="center"/>
    </xf>
    <xf numFmtId="0" fontId="36" fillId="3" borderId="0" pivotButton="0" quotePrefix="0" xfId="0"/>
    <xf numFmtId="164" fontId="25" fillId="4" borderId="0" applyAlignment="1" pivotButton="0" quotePrefix="0" xfId="0">
      <alignment horizontal="right" vertical="center"/>
    </xf>
    <xf numFmtId="0" fontId="37" fillId="4" borderId="0" applyAlignment="1" pivotButton="0" quotePrefix="0" xfId="0">
      <alignment horizontal="left" vertical="center" wrapText="1"/>
    </xf>
    <xf numFmtId="0" fontId="38" fillId="6" borderId="0" applyAlignment="1" pivotButton="0" quotePrefix="0" xfId="0">
      <alignment horizontal="left" vertical="center"/>
    </xf>
    <xf numFmtId="0" fontId="13" fillId="5" borderId="0" applyAlignment="1" pivotButton="0" quotePrefix="0" xfId="0">
      <alignment horizontal="left" vertical="center"/>
    </xf>
    <xf numFmtId="0" fontId="13" fillId="4" borderId="0" applyAlignment="1" pivotButton="0" quotePrefix="0" xfId="0">
      <alignment horizontal="left" vertical="center"/>
    </xf>
    <xf numFmtId="0" fontId="29" fillId="5" borderId="0" pivotButton="0" quotePrefix="0" xfId="0"/>
    <xf numFmtId="0" fontId="28" fillId="5" borderId="0" applyAlignment="1" pivotButton="0" quotePrefix="0" xfId="0">
      <alignment horizontal="left" vertical="center"/>
    </xf>
    <xf numFmtId="0" fontId="28" fillId="5" borderId="0" applyAlignment="1" pivotButton="0" quotePrefix="0" xfId="0">
      <alignment horizontal="center" vertical="center"/>
    </xf>
    <xf numFmtId="0" fontId="30" fillId="4" borderId="0" applyAlignment="1" pivotButton="0" quotePrefix="0" xfId="0">
      <alignment horizontal="left" vertical="center"/>
    </xf>
    <xf numFmtId="0" fontId="30" fillId="5" borderId="0" applyAlignment="1" pivotButton="0" quotePrefix="0" xfId="0">
      <alignment horizontal="left" vertical="center"/>
    </xf>
    <xf numFmtId="166" fontId="28" fillId="5" borderId="0" applyAlignment="1" pivotButton="0" quotePrefix="0" xfId="0">
      <alignment horizontal="center" vertical="center"/>
    </xf>
    <xf numFmtId="10" fontId="25" fillId="5" borderId="0" applyAlignment="1" pivotButton="0" quotePrefix="0" xfId="0">
      <alignment horizontal="center" vertical="center"/>
    </xf>
    <xf numFmtId="165" fontId="28" fillId="4" borderId="0" applyAlignment="1" pivotButton="0" quotePrefix="0" xfId="0">
      <alignment horizontal="center" vertical="center"/>
    </xf>
    <xf numFmtId="165" fontId="28" fillId="5" borderId="0" applyAlignment="1" pivotButton="0" quotePrefix="0" xfId="0">
      <alignment horizontal="center" vertical="center"/>
    </xf>
    <xf numFmtId="2" fontId="25" fillId="5" borderId="0" applyAlignment="1" pivotButton="0" quotePrefix="0" xfId="0">
      <alignment horizontal="center" vertical="center"/>
    </xf>
    <xf numFmtId="170" fontId="25" fillId="5" borderId="0" applyAlignment="1" pivotButton="0" quotePrefix="0" xfId="0">
      <alignment horizontal="center" vertical="center"/>
    </xf>
    <xf numFmtId="2" fontId="25" fillId="4" borderId="0" applyAlignment="1" pivotButton="0" quotePrefix="0" xfId="0">
      <alignment horizontal="center" vertical="center"/>
    </xf>
    <xf numFmtId="170" fontId="25" fillId="4" borderId="0" applyAlignment="1" pivotButton="0" quotePrefix="0" xfId="0">
      <alignment horizontal="center" vertical="center"/>
    </xf>
    <xf numFmtId="2" fontId="26" fillId="3" borderId="0" applyAlignment="1" pivotButton="0" quotePrefix="0" xfId="0">
      <alignment horizontal="center" vertical="center"/>
    </xf>
    <xf numFmtId="0" fontId="24" fillId="3" borderId="0" pivotButton="0" quotePrefix="0" xfId="0"/>
    <xf numFmtId="168" fontId="28" fillId="5" borderId="0" applyAlignment="1" pivotButton="0" quotePrefix="0" xfId="0">
      <alignment horizontal="center" vertical="center"/>
    </xf>
    <xf numFmtId="166" fontId="28" fillId="4" borderId="0" applyAlignment="1" pivotButton="0" quotePrefix="0" xfId="0">
      <alignment horizontal="center" vertical="center"/>
    </xf>
    <xf numFmtId="3" fontId="28" fillId="4" borderId="0" applyAlignment="1" pivotButton="0" quotePrefix="0" xfId="0">
      <alignment horizontal="center" vertical="center"/>
    </xf>
    <xf numFmtId="166" fontId="24" fillId="2" borderId="0" applyAlignment="1" pivotButton="0" quotePrefix="0" xfId="0">
      <alignment horizontal="center" vertical="center"/>
    </xf>
    <xf numFmtId="166" fontId="26" fillId="6" borderId="0" applyAlignment="1" pivotButton="0" quotePrefix="0" xfId="0">
      <alignment horizontal="center" vertical="center"/>
    </xf>
    <xf numFmtId="165" fontId="24" fillId="6" borderId="0" applyAlignment="1" pivotButton="0" quotePrefix="0" xfId="0">
      <alignment horizontal="center" vertical="center"/>
    </xf>
    <xf numFmtId="166" fontId="26" fillId="3" borderId="0" applyAlignment="1" pivotButton="0" quotePrefix="0" xfId="0">
      <alignment horizontal="center" vertical="center"/>
    </xf>
    <xf numFmtId="166" fontId="26" fillId="2" borderId="0" applyAlignment="1" pivotButton="0" quotePrefix="0" xfId="0">
      <alignment horizontal="center" vertical="center"/>
    </xf>
    <xf numFmtId="165" fontId="24" fillId="2" borderId="0" applyAlignment="1" pivotButton="0" quotePrefix="0" xfId="0">
      <alignment horizontal="center" vertical="center"/>
    </xf>
    <xf numFmtId="165" fontId="30" fillId="5" borderId="0" applyAlignment="1" pivotButton="0" quotePrefix="0" xfId="0">
      <alignment horizontal="center" vertical="center"/>
    </xf>
    <xf numFmtId="165" fontId="30" fillId="4" borderId="0" applyAlignment="1" pivotButton="0" quotePrefix="0" xfId="0">
      <alignment horizontal="center" vertical="center"/>
    </xf>
    <xf numFmtId="166" fontId="28" fillId="4" borderId="0" applyAlignment="1" pivotButton="0" quotePrefix="0" xfId="0">
      <alignment horizontal="right" vertical="center"/>
    </xf>
    <xf numFmtId="165" fontId="28" fillId="4" borderId="0" applyAlignment="1" pivotButton="0" quotePrefix="0" xfId="0">
      <alignment horizontal="right" vertical="center"/>
    </xf>
    <xf numFmtId="168" fontId="39" fillId="5" borderId="0" applyAlignment="1" pivotButton="0" quotePrefix="0" xfId="0">
      <alignment horizontal="center" vertical="center"/>
    </xf>
    <xf numFmtId="0" fontId="40" fillId="8" borderId="0" applyAlignment="1" pivotButton="0" quotePrefix="0" xfId="0">
      <alignment horizontal="center" vertical="center"/>
    </xf>
    <xf numFmtId="171" fontId="28" fillId="5" borderId="0" applyAlignment="1" pivotButton="0" quotePrefix="0" xfId="0">
      <alignment horizontal="center" vertical="center"/>
    </xf>
    <xf numFmtId="171" fontId="25" fillId="4" borderId="0" applyAlignment="1" pivotButton="0" quotePrefix="0" xfId="0">
      <alignment horizontal="center" vertical="center"/>
    </xf>
    <xf numFmtId="171" fontId="25" fillId="5" borderId="0" applyAlignment="1" pivotButton="0" quotePrefix="0" xfId="0">
      <alignment horizontal="center" vertical="center"/>
    </xf>
    <xf numFmtId="168" fontId="40" fillId="6" borderId="0" applyAlignment="1" pivotButton="0" quotePrefix="0" xfId="0">
      <alignment horizontal="center" vertical="center"/>
    </xf>
    <xf numFmtId="165" fontId="13" fillId="5" borderId="0" applyAlignment="1" pivotButton="0" quotePrefix="0" xfId="0">
      <alignment horizontal="center" vertical="center"/>
    </xf>
    <xf numFmtId="165" fontId="29" fillId="5" borderId="0" applyAlignment="1" pivotButton="0" quotePrefix="0" xfId="0">
      <alignment horizontal="center" vertical="center"/>
    </xf>
    <xf numFmtId="165" fontId="22" fillId="5" borderId="0" applyAlignment="1" pivotButton="0" quotePrefix="0" xfId="0">
      <alignment horizontal="center" vertical="center"/>
    </xf>
    <xf numFmtId="165" fontId="41" fillId="5" borderId="0" applyAlignment="1" pivotButton="0" quotePrefix="0" xfId="0">
      <alignment horizontal="center" vertical="center"/>
    </xf>
    <xf numFmtId="0" fontId="24" fillId="7" borderId="0" applyAlignment="1" pivotButton="0" quotePrefix="0" xfId="0">
      <alignment horizontal="center" vertical="center"/>
    </xf>
    <xf numFmtId="0" fontId="24" fillId="6" borderId="0" applyAlignment="1" pivotButton="0" quotePrefix="0" xfId="0">
      <alignment horizontal="center" vertical="center"/>
    </xf>
    <xf numFmtId="3" fontId="28" fillId="5" borderId="0" applyAlignment="1" pivotButton="0" quotePrefix="0" xfId="0">
      <alignment horizontal="center" vertical="center"/>
    </xf>
    <xf numFmtId="164" fontId="28" fillId="4" borderId="0" applyAlignment="1" pivotButton="0" quotePrefix="0" xfId="0">
      <alignment horizontal="right" vertical="center"/>
    </xf>
    <xf numFmtId="0" fontId="38" fillId="9" borderId="0" applyAlignment="1" pivotButton="0" quotePrefix="0" xfId="0">
      <alignment horizontal="left" vertical="center"/>
    </xf>
    <xf numFmtId="170" fontId="42" fillId="8" borderId="0" applyAlignment="1" pivotButton="0" quotePrefix="0" xfId="0">
      <alignment horizontal="center" vertical="center"/>
    </xf>
    <xf numFmtId="0" fontId="27" fillId="8" borderId="0" applyAlignment="1" pivotButton="0" quotePrefix="0" xfId="0">
      <alignment horizontal="center" vertical="center"/>
    </xf>
    <xf numFmtId="170" fontId="42" fillId="9" borderId="0" applyAlignment="1" pivotButton="0" quotePrefix="0" xfId="0">
      <alignment horizontal="center" vertical="center"/>
    </xf>
    <xf numFmtId="0" fontId="27" fillId="9" borderId="0" applyAlignment="1" pivotButton="0" quotePrefix="0" xfId="0">
      <alignment horizontal="center" vertical="center"/>
    </xf>
    <xf numFmtId="0" fontId="25" fillId="5" borderId="0" applyAlignment="1" pivotButton="0" quotePrefix="0" xfId="0">
      <alignment horizontal="left" vertical="center" wrapText="1"/>
    </xf>
    <xf numFmtId="0" fontId="24" fillId="10" borderId="0" applyAlignment="1" pivotButton="0" quotePrefix="0" xfId="0">
      <alignment horizontal="center" vertical="center"/>
    </xf>
    <xf numFmtId="0" fontId="25" fillId="4" borderId="0" applyAlignment="1" pivotButton="0" quotePrefix="0" xfId="0">
      <alignment horizontal="left" vertical="center" wrapText="1"/>
    </xf>
    <xf numFmtId="0" fontId="24" fillId="9" borderId="0" applyAlignment="1" pivotButton="0" quotePrefix="0" xfId="0">
      <alignment horizontal="center" vertical="center"/>
    </xf>
    <xf numFmtId="0" fontId="24" fillId="8" borderId="0" applyAlignment="1" pivotButton="0" quotePrefix="0" xfId="0">
      <alignment horizontal="center" vertical="center"/>
    </xf>
    <xf numFmtId="0" fontId="20" fillId="2" borderId="0" pivotButton="0" quotePrefix="0" xfId="0"/>
    <xf numFmtId="0" fontId="20" fillId="3" borderId="0" applyAlignment="1" pivotButton="0" quotePrefix="0" xfId="0">
      <alignment horizontal="center" vertical="center"/>
    </xf>
    <xf numFmtId="0" fontId="20" fillId="7" borderId="0" applyAlignment="1" pivotButton="0" quotePrefix="0" xfId="0">
      <alignment horizontal="center" vertical="center"/>
    </xf>
    <xf numFmtId="0" fontId="20" fillId="6" borderId="0" applyAlignment="1" pivotButton="0" quotePrefix="0" xfId="0">
      <alignment horizontal="center" vertical="center"/>
    </xf>
    <xf numFmtId="0" fontId="24" fillId="9" borderId="0" pivotButton="0" quotePrefix="0" xfId="0"/>
    <xf numFmtId="165" fontId="28" fillId="5" borderId="0" applyAlignment="1" pivotButton="0" quotePrefix="0" xfId="0">
      <alignment horizontal="right" vertical="center"/>
    </xf>
    <xf numFmtId="0" fontId="28" fillId="5" borderId="0" applyAlignment="1" pivotButton="0" quotePrefix="0" xfId="0">
      <alignment horizontal="right" vertical="center"/>
    </xf>
    <xf numFmtId="165" fontId="22" fillId="5" borderId="19" applyAlignment="1" applyProtection="1" pivotButton="0" quotePrefix="0" xfId="0">
      <alignment horizontal="center" vertical="center"/>
      <protection locked="0" hidden="0"/>
    </xf>
    <xf numFmtId="0" fontId="37" fillId="4" borderId="0" pivotButton="0" quotePrefix="0" xfId="0"/>
    <xf numFmtId="0" fontId="37" fillId="5" borderId="0" pivotButton="0" quotePrefix="0" xfId="0"/>
    <xf numFmtId="0" fontId="44" fillId="12" borderId="20" applyAlignment="1" pivotButton="0" quotePrefix="0" xfId="0">
      <alignment horizontal="center" vertical="center"/>
    </xf>
    <xf numFmtId="0" fontId="21" fillId="5" borderId="21" applyAlignment="1" pivotButton="0" quotePrefix="0" xfId="0">
      <alignment horizontal="center" vertical="center"/>
    </xf>
    <xf numFmtId="0" fontId="34" fillId="5" borderId="22" applyAlignment="1" pivotButton="0" quotePrefix="0" xfId="0">
      <alignment horizontal="center" vertical="center"/>
    </xf>
    <xf numFmtId="0" fontId="45" fillId="5" borderId="23" applyAlignment="1" pivotButton="0" quotePrefix="0" xfId="0">
      <alignment horizontal="center" vertical="center"/>
    </xf>
    <xf numFmtId="0" fontId="35" fillId="5" borderId="24" applyAlignment="1" pivotButton="0" quotePrefix="0" xfId="0">
      <alignment horizontal="left" vertical="center"/>
    </xf>
    <xf numFmtId="0" fontId="0" fillId="0" borderId="25" pivotButton="0" quotePrefix="0" xfId="0"/>
    <xf numFmtId="0" fontId="31" fillId="5" borderId="19" applyAlignment="1" applyProtection="1" pivotButton="0" quotePrefix="0" xfId="0">
      <alignment horizontal="center" vertical="center"/>
      <protection locked="0" hidden="0"/>
    </xf>
    <xf numFmtId="2" fontId="22" fillId="5" borderId="19" applyAlignment="1" applyProtection="1" pivotButton="0" quotePrefix="0" xfId="0">
      <alignment horizontal="center" vertical="center"/>
      <protection locked="0" hidden="0"/>
    </xf>
    <xf numFmtId="9" fontId="22" fillId="5" borderId="19" applyAlignment="1" applyProtection="1" pivotButton="0" quotePrefix="0" xfId="0">
      <alignment horizontal="center" vertical="center"/>
      <protection locked="0" hidden="0"/>
    </xf>
    <xf numFmtId="9" fontId="28" fillId="4" borderId="0" applyAlignment="1" pivotButton="0" quotePrefix="0" xfId="0">
      <alignment horizontal="center" vertical="center"/>
    </xf>
    <xf numFmtId="0" fontId="24" fillId="11" borderId="1" applyAlignment="1" pivotButton="0" quotePrefix="0" xfId="0">
      <alignment horizontal="left" vertical="center"/>
    </xf>
    <xf numFmtId="172" fontId="28" fillId="5" borderId="0" applyAlignment="1" applyProtection="1" pivotButton="0" quotePrefix="0" xfId="0">
      <alignment horizontal="right" vertical="center"/>
      <protection locked="0" hidden="0"/>
    </xf>
    <xf numFmtId="3" fontId="28" fillId="4" borderId="0" applyAlignment="1" applyProtection="1" pivotButton="0" quotePrefix="0" xfId="0">
      <alignment horizontal="right" vertical="center"/>
      <protection locked="0" hidden="0"/>
    </xf>
    <xf numFmtId="172" fontId="28" fillId="4" borderId="0" applyAlignment="1" applyProtection="1" pivotButton="0" quotePrefix="0" xfId="0">
      <alignment horizontal="right" vertical="center"/>
      <protection locked="0" hidden="0"/>
    </xf>
    <xf numFmtId="164" fontId="28" fillId="5" borderId="0" applyAlignment="1" applyProtection="1" pivotButton="0" quotePrefix="0" xfId="0">
      <alignment horizontal="right" vertical="center"/>
      <protection locked="0" hidden="0"/>
    </xf>
    <xf numFmtId="0" fontId="43" fillId="5" borderId="0" applyAlignment="1" pivotButton="0" quotePrefix="0" xfId="0">
      <alignment horizontal="left" vertical="center"/>
    </xf>
    <xf numFmtId="0" fontId="10" fillId="4" borderId="0" applyAlignment="1" pivotButton="0" quotePrefix="0" xfId="0">
      <alignment horizontal="left" vertical="center"/>
    </xf>
    <xf numFmtId="0" fontId="10" fillId="5" borderId="0" applyAlignment="1" pivotButton="0" quotePrefix="0" xfId="0">
      <alignment horizontal="left" vertical="center"/>
    </xf>
    <xf numFmtId="170" fontId="22" fillId="5" borderId="19" applyAlignment="1" applyProtection="1" pivotButton="0" quotePrefix="0" xfId="0">
      <alignment horizontal="center" vertical="center"/>
      <protection locked="0" hidden="0"/>
    </xf>
    <xf numFmtId="1" fontId="22" fillId="5" borderId="19" applyAlignment="1" applyProtection="1" pivotButton="0" quotePrefix="0" xfId="0">
      <alignment horizontal="center" vertical="center"/>
      <protection locked="0" hidden="0"/>
    </xf>
    <xf numFmtId="3" fontId="22" fillId="5" borderId="19" applyAlignment="1" applyProtection="1" pivotButton="0" quotePrefix="0" xfId="0">
      <alignment horizontal="center" vertical="center"/>
      <protection locked="0" hidden="0"/>
    </xf>
    <xf numFmtId="0" fontId="37" fillId="5" borderId="0" applyAlignment="1" pivotButton="0" quotePrefix="0" xfId="0">
      <alignment horizontal="left" vertical="center" wrapText="1"/>
    </xf>
    <xf numFmtId="0" fontId="46" fillId="5" borderId="1" pivotButton="0" quotePrefix="0" xfId="0"/>
    <xf numFmtId="164" fontId="2" fillId="5" borderId="1" applyAlignment="1" pivotButton="0" quotePrefix="0" xfId="0">
      <alignment horizontal="right" vertical="center"/>
    </xf>
    <xf numFmtId="164" fontId="46" fillId="5" borderId="1" applyAlignment="1" pivotButton="0" quotePrefix="0" xfId="0">
      <alignment horizontal="right" vertical="center"/>
    </xf>
    <xf numFmtId="169" fontId="44" fillId="5" borderId="1" applyAlignment="1" pivotButton="0" quotePrefix="0" xfId="0">
      <alignment horizontal="center" vertical="center"/>
    </xf>
    <xf numFmtId="0" fontId="47" fillId="5" borderId="1" pivotButton="0" quotePrefix="0" xfId="0"/>
    <xf numFmtId="0" fontId="37" fillId="5" borderId="1" applyAlignment="1" pivotButton="0" quotePrefix="0" xfId="0">
      <alignment horizontal="center" vertical="center"/>
    </xf>
    <xf numFmtId="169" fontId="45" fillId="5" borderId="1" applyAlignment="1" pivotButton="0" quotePrefix="0" xfId="0">
      <alignment horizontal="center" vertical="center"/>
    </xf>
    <xf numFmtId="169" fontId="48" fillId="5" borderId="1" applyAlignment="1" pivotButton="0" quotePrefix="0" xfId="0">
      <alignment horizontal="center" vertical="center"/>
    </xf>
    <xf numFmtId="0" fontId="49" fillId="5" borderId="1" pivotButton="0" quotePrefix="0" xfId="0"/>
    <xf numFmtId="164" fontId="49" fillId="5" borderId="1" applyAlignment="1" pivotButton="0" quotePrefix="0" xfId="0">
      <alignment horizontal="right" vertical="center"/>
    </xf>
    <xf numFmtId="0" fontId="50" fillId="5" borderId="1" pivotButton="0" quotePrefix="0" xfId="0"/>
    <xf numFmtId="0" fontId="51" fillId="5" borderId="1" pivotButton="0" quotePrefix="0" xfId="0"/>
    <xf numFmtId="164" fontId="51" fillId="5" borderId="1" applyAlignment="1" pivotButton="0" quotePrefix="0" xfId="0">
      <alignment horizontal="right" vertical="center"/>
    </xf>
    <xf numFmtId="0" fontId="52" fillId="5" borderId="1" pivotButton="0" quotePrefix="0" xfId="0"/>
    <xf numFmtId="164" fontId="21" fillId="5" borderId="1" applyAlignment="1" pivotButton="0" quotePrefix="0" xfId="0">
      <alignment horizontal="right" vertical="center"/>
    </xf>
    <xf numFmtId="0" fontId="53" fillId="5" borderId="1" pivotButton="0" quotePrefix="0" xfId="0"/>
    <xf numFmtId="0" fontId="24" fillId="2" borderId="1" pivotButton="0" quotePrefix="0" xfId="0"/>
    <xf numFmtId="0" fontId="34" fillId="4" borderId="0" pivotButton="0" quotePrefix="0" xfId="0"/>
    <xf numFmtId="166" fontId="34" fillId="4" borderId="0" applyAlignment="1" pivotButton="0" quotePrefix="0" xfId="0">
      <alignment horizontal="right" vertical="center"/>
    </xf>
    <xf numFmtId="4" fontId="25" fillId="5" borderId="0" applyAlignment="1" pivotButton="0" quotePrefix="0" xfId="0">
      <alignment horizontal="right" vertical="center"/>
    </xf>
    <xf numFmtId="166" fontId="28" fillId="5" borderId="0" applyAlignment="1" pivotButton="0" quotePrefix="0" xfId="0">
      <alignment horizontal="right" vertical="center"/>
    </xf>
    <xf numFmtId="0" fontId="34" fillId="5" borderId="0" pivotButton="0" quotePrefix="0" xfId="0"/>
    <xf numFmtId="166" fontId="34" fillId="5" borderId="0" applyAlignment="1" pivotButton="0" quotePrefix="0" xfId="0">
      <alignment horizontal="right" vertical="center"/>
    </xf>
    <xf numFmtId="0" fontId="29" fillId="4" borderId="0" pivotButton="0" quotePrefix="0" xfId="0"/>
    <xf numFmtId="166" fontId="29" fillId="4" borderId="0" applyAlignment="1" pivotButton="0" quotePrefix="0" xfId="0">
      <alignment horizontal="right" vertical="center"/>
    </xf>
    <xf numFmtId="0" fontId="54" fillId="5" borderId="1" applyAlignment="1" pivotButton="0" quotePrefix="0" xfId="0">
      <alignment horizontal="left" vertical="center"/>
    </xf>
    <xf numFmtId="0" fontId="28" fillId="5" borderId="1" applyAlignment="1" pivotButton="0" quotePrefix="0" xfId="0">
      <alignment horizontal="right" vertical="center"/>
    </xf>
    <xf numFmtId="0" fontId="54" fillId="4" borderId="1" applyAlignment="1" pivotButton="0" quotePrefix="0" xfId="0">
      <alignment horizontal="left" vertical="center"/>
    </xf>
    <xf numFmtId="0" fontId="28" fillId="4" borderId="1" applyAlignment="1" pivotButton="0" quotePrefix="0" xfId="0">
      <alignment horizontal="right" vertical="center"/>
    </xf>
    <xf numFmtId="0" fontId="29" fillId="5" borderId="0" applyAlignment="1" pivotButton="0" quotePrefix="0" xfId="0">
      <alignment horizontal="right" vertical="center"/>
    </xf>
    <xf numFmtId="0" fontId="29" fillId="4" borderId="0" applyAlignment="1" pivotButton="0" quotePrefix="0" xfId="0">
      <alignment horizontal="right" vertical="center"/>
    </xf>
    <xf numFmtId="0" fontId="13" fillId="5" borderId="0" applyAlignment="1" pivotButton="0" quotePrefix="0" xfId="0">
      <alignment horizontal="right" vertical="center"/>
    </xf>
    <xf numFmtId="0" fontId="30" fillId="4" borderId="0" applyAlignment="1" pivotButton="0" quotePrefix="0" xfId="0">
      <alignment horizontal="right" vertical="center"/>
    </xf>
    <xf numFmtId="0" fontId="30" fillId="5" borderId="0" applyAlignment="1" pivotButton="0" quotePrefix="0" xfId="0">
      <alignment horizontal="right" vertical="center"/>
    </xf>
    <xf numFmtId="0" fontId="25" fillId="5" borderId="0" applyAlignment="1" pivotButton="0" quotePrefix="0" xfId="0">
      <alignment horizontal="right" vertical="center"/>
    </xf>
    <xf numFmtId="0" fontId="29" fillId="5" borderId="0" applyAlignment="1" pivotButton="0" quotePrefix="0" xfId="0">
      <alignment horizontal="left" vertical="center"/>
    </xf>
    <xf numFmtId="0" fontId="25" fillId="4" borderId="0" applyAlignment="1" pivotButton="0" quotePrefix="0" xfId="0">
      <alignment horizontal="right" vertical="center"/>
    </xf>
    <xf numFmtId="0" fontId="29" fillId="4" borderId="0" applyAlignment="1" pivotButton="0" quotePrefix="0" xfId="0">
      <alignment horizontal="left" vertical="center"/>
    </xf>
    <xf numFmtId="0" fontId="28" fillId="4" borderId="0" applyAlignment="1" pivotButton="0" quotePrefix="0" xfId="0">
      <alignment horizontal="left" vertical="center"/>
    </xf>
    <xf numFmtId="0" fontId="24" fillId="2" borderId="0" applyAlignment="1" pivotButton="0" quotePrefix="0" xfId="0">
      <alignment horizontal="right" vertical="center"/>
    </xf>
    <xf numFmtId="0" fontId="34" fillId="4" borderId="1" applyAlignment="1" pivotButton="0" quotePrefix="0" xfId="0">
      <alignment horizontal="right" vertical="center"/>
    </xf>
    <xf numFmtId="0" fontId="54" fillId="5" borderId="0" applyAlignment="1" pivotButton="0" quotePrefix="0" xfId="0">
      <alignment horizontal="left" vertical="center"/>
    </xf>
    <xf numFmtId="0" fontId="54" fillId="5" borderId="0" applyAlignment="1" pivotButton="0" quotePrefix="0" xfId="0">
      <alignment horizontal="right" vertical="center"/>
    </xf>
    <xf numFmtId="0" fontId="54" fillId="4" borderId="0" applyAlignment="1" pivotButton="0" quotePrefix="0" xfId="0">
      <alignment horizontal="left" vertical="center"/>
    </xf>
    <xf numFmtId="0" fontId="54" fillId="4" borderId="0" applyAlignment="1" pivotButton="0" quotePrefix="0" xfId="0">
      <alignment horizontal="right" vertical="center"/>
    </xf>
    <xf numFmtId="0" fontId="34" fillId="5" borderId="1" applyAlignment="1" pivotButton="0" quotePrefix="0" xfId="0">
      <alignment horizontal="right" vertical="center"/>
    </xf>
    <xf numFmtId="173" fontId="34" fillId="4" borderId="0" applyAlignment="1" pivotButton="0" quotePrefix="0" xfId="0">
      <alignment horizontal="right" vertical="center"/>
    </xf>
    <xf numFmtId="173" fontId="28" fillId="4" borderId="0" applyAlignment="1" pivotButton="0" quotePrefix="0" xfId="0">
      <alignment horizontal="right" vertical="center"/>
    </xf>
    <xf numFmtId="10" fontId="28" fillId="4" borderId="0" applyAlignment="1" pivotButton="0" quotePrefix="0" xfId="0">
      <alignment horizontal="right" vertical="center"/>
    </xf>
    <xf numFmtId="10" fontId="22" fillId="4" borderId="0" applyAlignment="1" pivotButton="0" quotePrefix="0" xfId="0">
      <alignment horizontal="right" vertical="center"/>
    </xf>
    <xf numFmtId="174" fontId="34" fillId="4" borderId="0" applyAlignment="1" pivotButton="0" quotePrefix="0" xfId="0">
      <alignment horizontal="right" vertical="center"/>
    </xf>
    <xf numFmtId="0" fontId="45" fillId="5" borderId="1" applyAlignment="1" pivotButton="0" quotePrefix="0" xfId="0">
      <alignment horizontal="right" vertical="center"/>
    </xf>
    <xf numFmtId="174" fontId="28" fillId="4" borderId="0" applyAlignment="1" pivotButton="0" quotePrefix="0" xfId="0">
      <alignment horizontal="right" vertical="center"/>
    </xf>
    <xf numFmtId="175" fontId="41" fillId="4" borderId="0" applyAlignment="1" pivotButton="0" quotePrefix="0" xfId="0">
      <alignment horizontal="right" vertical="center"/>
    </xf>
    <xf numFmtId="0" fontId="41" fillId="4" borderId="1" applyAlignment="1" pivotButton="0" quotePrefix="0" xfId="0">
      <alignment horizontal="right" vertical="center"/>
    </xf>
    <xf numFmtId="0" fontId="21" fillId="5" borderId="1" applyAlignment="1" pivotButton="0" quotePrefix="0" xfId="0">
      <alignment horizontal="right" vertical="center"/>
    </xf>
    <xf numFmtId="0" fontId="34" fillId="5" borderId="0" applyAlignment="1" pivotButton="0" quotePrefix="0" xfId="0">
      <alignment horizontal="right" vertical="center"/>
    </xf>
    <xf numFmtId="0" fontId="45" fillId="4" borderId="1" applyAlignment="1" pivotButton="0" quotePrefix="0" xfId="0">
      <alignment horizontal="right" vertical="center"/>
    </xf>
    <xf numFmtId="0" fontId="28" fillId="4" borderId="0" applyAlignment="1" pivotButton="0" quotePrefix="0" xfId="0">
      <alignment horizontal="right" vertical="center"/>
    </xf>
    <xf numFmtId="0" fontId="22" fillId="5" borderId="1" applyAlignment="1" pivotButton="0" quotePrefix="0" xfId="0">
      <alignment horizontal="right" vertical="center"/>
    </xf>
    <xf numFmtId="0" fontId="37" fillId="0" borderId="0" pivotButton="0" quotePrefix="0" xfId="0"/>
    <xf numFmtId="167" fontId="25" fillId="5" borderId="0" applyAlignment="1" pivotButton="0" quotePrefix="0" xfId="0">
      <alignment horizontal="right" vertical="center"/>
    </xf>
    <xf numFmtId="167" fontId="25" fillId="4" borderId="0" applyAlignment="1" pivotButton="0" quotePrefix="0" xfId="0">
      <alignment horizontal="right" vertical="center"/>
    </xf>
    <xf numFmtId="165" fontId="25" fillId="4" borderId="0" applyAlignment="1" pivotButton="0" quotePrefix="0" xfId="0">
      <alignment horizontal="right" vertical="center"/>
    </xf>
    <xf numFmtId="168" fontId="28" fillId="5" borderId="0" applyAlignment="1" pivotButton="0" quotePrefix="0" xfId="0">
      <alignment horizontal="right" vertical="center"/>
    </xf>
    <xf numFmtId="168" fontId="28" fillId="4" borderId="0" applyAlignment="1" pivotButton="0" quotePrefix="0" xfId="0">
      <alignment horizontal="right" vertical="center"/>
    </xf>
    <xf numFmtId="0" fontId="10" fillId="4" borderId="1" applyAlignment="1" pivotButton="0" quotePrefix="0" xfId="0">
      <alignment horizontal="left" vertical="center"/>
    </xf>
    <xf numFmtId="168" fontId="28" fillId="4" borderId="1" applyAlignment="1" pivotButton="0" quotePrefix="0" xfId="0">
      <alignment horizontal="right" vertical="center"/>
    </xf>
    <xf numFmtId="0" fontId="10" fillId="5" borderId="1" applyAlignment="1" pivotButton="0" quotePrefix="0" xfId="0">
      <alignment horizontal="left" vertical="center"/>
    </xf>
    <xf numFmtId="168" fontId="28" fillId="5" borderId="1" applyAlignment="1" pivotButton="0" quotePrefix="0" xfId="0">
      <alignment horizontal="right" vertical="center"/>
    </xf>
    <xf numFmtId="0" fontId="24" fillId="2" borderId="1" applyAlignment="1" pivotButton="0" quotePrefix="0" xfId="0">
      <alignment horizontal="center" vertical="center"/>
    </xf>
    <xf numFmtId="0" fontId="24" fillId="3" borderId="1" pivotButton="0" quotePrefix="0" xfId="0"/>
    <xf numFmtId="0" fontId="0" fillId="3" borderId="1" pivotButton="0" quotePrefix="0" xfId="0"/>
    <xf numFmtId="166" fontId="28" fillId="4" borderId="1" applyAlignment="1" pivotButton="0" quotePrefix="0" xfId="0">
      <alignment horizontal="right" vertical="center"/>
    </xf>
    <xf numFmtId="0" fontId="55" fillId="4" borderId="1" pivotButton="0" quotePrefix="0" xfId="0"/>
    <xf numFmtId="166" fontId="25" fillId="4" borderId="1" applyAlignment="1" pivotButton="0" quotePrefix="0" xfId="0">
      <alignment horizontal="right" vertical="center"/>
    </xf>
    <xf numFmtId="166" fontId="28" fillId="5" borderId="1" applyAlignment="1" pivotButton="0" quotePrefix="0" xfId="0">
      <alignment horizontal="right" vertical="center"/>
    </xf>
    <xf numFmtId="165" fontId="25" fillId="4" borderId="1" applyAlignment="1" pivotButton="0" quotePrefix="0" xfId="0">
      <alignment horizontal="right" vertical="center"/>
    </xf>
    <xf numFmtId="0" fontId="0" fillId="2" borderId="1" pivotButton="0" quotePrefix="0" xfId="0"/>
    <xf numFmtId="0" fontId="26" fillId="2" borderId="1" pivotButton="0" quotePrefix="0" xfId="0"/>
    <xf numFmtId="0" fontId="24" fillId="3" borderId="1" applyAlignment="1" pivotButton="0" quotePrefix="0" xfId="0">
      <alignment horizontal="center" vertical="center"/>
    </xf>
    <xf numFmtId="0" fontId="56" fillId="4" borderId="0" pivotButton="0" quotePrefix="0" xfId="0"/>
    <xf numFmtId="0" fontId="56" fillId="0" borderId="0" pivotButton="0" quotePrefix="0" xfId="0"/>
    <xf numFmtId="164" fontId="45" fillId="4" borderId="1" applyAlignment="1" pivotButton="0" quotePrefix="0" xfId="0">
      <alignment horizontal="right" vertical="center"/>
    </xf>
    <xf numFmtId="164" fontId="22" fillId="4" borderId="1" applyAlignment="1" pivotButton="0" quotePrefix="0" xfId="0">
      <alignment horizontal="right" vertical="center"/>
    </xf>
    <xf numFmtId="169" fontId="45" fillId="4" borderId="1" applyAlignment="1" pivotButton="0" quotePrefix="0" xfId="0">
      <alignment horizontal="right" vertical="center"/>
    </xf>
    <xf numFmtId="3" fontId="45" fillId="4" borderId="1" applyAlignment="1" pivotButton="0" quotePrefix="0" xfId="0">
      <alignment horizontal="right" vertical="center"/>
    </xf>
    <xf numFmtId="0" fontId="55" fillId="13" borderId="1" pivotButton="0" quotePrefix="0" xfId="0"/>
    <xf numFmtId="0" fontId="48" fillId="13" borderId="1" applyAlignment="1" pivotButton="0" quotePrefix="0" xfId="0">
      <alignment horizontal="center" vertical="center"/>
    </xf>
    <xf numFmtId="9" fontId="57" fillId="13" borderId="1" applyAlignment="1" pivotButton="0" quotePrefix="0" xfId="0">
      <alignment horizontal="center" vertical="center"/>
    </xf>
    <xf numFmtId="0" fontId="55" fillId="5" borderId="1" pivotButton="0" quotePrefix="0" xfId="0"/>
    <xf numFmtId="0" fontId="58" fillId="5" borderId="1" applyAlignment="1" pivotButton="0" quotePrefix="0" xfId="0">
      <alignment horizontal="center" vertical="center"/>
    </xf>
    <xf numFmtId="9" fontId="59" fillId="5" borderId="1" applyAlignment="1" pivotButton="0" quotePrefix="0" xfId="0">
      <alignment horizontal="center" vertical="center"/>
    </xf>
    <xf numFmtId="0" fontId="55" fillId="12" borderId="1" pivotButton="0" quotePrefix="0" xfId="0"/>
    <xf numFmtId="0" fontId="44" fillId="12" borderId="1" applyAlignment="1" pivotButton="0" quotePrefix="0" xfId="0">
      <alignment horizontal="center" vertical="center"/>
    </xf>
    <xf numFmtId="9" fontId="60" fillId="12" borderId="1" applyAlignment="1" pivotButton="0" quotePrefix="0" xfId="0">
      <alignment horizontal="center" vertical="center"/>
    </xf>
    <xf numFmtId="0" fontId="37" fillId="4" borderId="1" pivotButton="0" quotePrefix="0" xfId="0"/>
    <xf numFmtId="0" fontId="21" fillId="13" borderId="1" pivotButton="0" quotePrefix="0" xfId="0"/>
    <xf numFmtId="0" fontId="37" fillId="13" borderId="1" pivotButton="0" quotePrefix="0" xfId="0"/>
    <xf numFmtId="0" fontId="61" fillId="4" borderId="1" pivotButton="0" quotePrefix="0" xfId="0"/>
    <xf numFmtId="176" fontId="55" fillId="4" borderId="1" applyAlignment="1" pivotButton="0" quotePrefix="0" xfId="0">
      <alignment horizontal="left" vertical="center"/>
    </xf>
    <xf numFmtId="166" fontId="55" fillId="4" borderId="1" applyAlignment="1" pivotButton="0" quotePrefix="0" xfId="0">
      <alignment horizontal="right" vertical="center"/>
    </xf>
    <xf numFmtId="166" fontId="13" fillId="4" borderId="1" applyAlignment="1" pivotButton="0" quotePrefix="0" xfId="0">
      <alignment horizontal="right" vertical="center"/>
    </xf>
    <xf numFmtId="169" fontId="55" fillId="4" borderId="1" applyAlignment="1" pivotButton="0" quotePrefix="0" xfId="0">
      <alignment horizontal="right" vertical="center"/>
    </xf>
    <xf numFmtId="176" fontId="55" fillId="4" borderId="1" applyAlignment="1" pivotButton="0" quotePrefix="0" xfId="0">
      <alignment horizontal="right" vertical="center"/>
    </xf>
    <xf numFmtId="176" fontId="21" fillId="5" borderId="1" applyAlignment="1" pivotButton="0" quotePrefix="0" xfId="0">
      <alignment horizontal="left" vertical="center"/>
    </xf>
    <xf numFmtId="166" fontId="21" fillId="5" borderId="1" applyAlignment="1" pivotButton="0" quotePrefix="0" xfId="0">
      <alignment horizontal="right" vertical="center"/>
    </xf>
    <xf numFmtId="169" fontId="21" fillId="5" borderId="1" applyAlignment="1" pivotButton="0" quotePrefix="0" xfId="0">
      <alignment horizontal="right" vertical="center"/>
    </xf>
    <xf numFmtId="176" fontId="21" fillId="5" borderId="1" applyAlignment="1" pivotButton="0" quotePrefix="0" xfId="0">
      <alignment horizontal="right" vertical="center"/>
    </xf>
    <xf numFmtId="9" fontId="55" fillId="4" borderId="1" applyAlignment="1" pivotButton="0" quotePrefix="0" xfId="0">
      <alignment horizontal="right" vertical="center"/>
    </xf>
    <xf numFmtId="9" fontId="21" fillId="5" borderId="1" applyAlignment="1" pivotButton="0" quotePrefix="0" xfId="0">
      <alignment horizontal="right" vertical="center"/>
    </xf>
    <xf numFmtId="0" fontId="37" fillId="4" borderId="0" applyAlignment="1" pivotButton="0" quotePrefix="0" xfId="0">
      <alignment horizontal="left" vertical="top" wrapText="1"/>
    </xf>
    <xf numFmtId="0" fontId="42" fillId="14" borderId="1" pivotButton="0" quotePrefix="0" xfId="0"/>
    <xf numFmtId="0" fontId="25" fillId="5" borderId="1" pivotButton="0" quotePrefix="0" xfId="0"/>
    <xf numFmtId="0" fontId="62" fillId="5" borderId="1" pivotButton="0" quotePrefix="0" xfId="0"/>
    <xf numFmtId="0" fontId="59" fillId="5" borderId="1" pivotButton="0" quotePrefix="0" xfId="0"/>
    <xf numFmtId="0" fontId="2" fillId="5" borderId="1" applyAlignment="1" pivotButton="0" quotePrefix="0" xfId="0">
      <alignment wrapText="1"/>
    </xf>
    <xf numFmtId="0" fontId="57" fillId="5" borderId="1" pivotButton="0" quotePrefix="0" xfId="0"/>
    <xf numFmtId="0" fontId="26" fillId="15" borderId="1" pivotButton="0" quotePrefix="0" xfId="0"/>
    <xf numFmtId="0" fontId="28" fillId="5" borderId="1" pivotButton="0" quotePrefix="0" xfId="0"/>
    <xf numFmtId="0" fontId="63" fillId="0" borderId="1" pivotButton="0" quotePrefix="0" xfId="0"/>
    <xf numFmtId="0" fontId="56" fillId="0" borderId="1" pivotButton="0" quotePrefix="0" xfId="0"/>
    <xf numFmtId="0" fontId="25" fillId="0" borderId="1" pivotButton="0" quotePrefix="0" xfId="0"/>
    <xf numFmtId="0" fontId="64" fillId="3" borderId="0" pivotButton="0" quotePrefix="0" xfId="0"/>
    <xf numFmtId="0" fontId="65" fillId="0" borderId="0" pivotButton="0" quotePrefix="0" xfId="0"/>
    <xf numFmtId="10" fontId="0" fillId="0" borderId="0" applyAlignment="1" pivotButton="0" quotePrefix="0" xfId="0">
      <alignment horizontal="right"/>
    </xf>
    <xf numFmtId="0" fontId="66" fillId="0" borderId="0" pivotButton="0" quotePrefix="0" xfId="0"/>
    <xf numFmtId="177" fontId="0" fillId="0" borderId="0" applyAlignment="1" pivotButton="0" quotePrefix="0" xfId="0">
      <alignment horizontal="right"/>
    </xf>
    <xf numFmtId="168" fontId="0" fillId="0" borderId="0" applyAlignment="1" pivotButton="0" quotePrefix="0" xfId="0">
      <alignment horizontal="right"/>
    </xf>
    <xf numFmtId="178" fontId="0" fillId="0" borderId="0" applyAlignment="1" pivotButton="0" quotePrefix="0" xfId="0">
      <alignment horizontal="right"/>
    </xf>
    <xf numFmtId="0" fontId="67" fillId="0" borderId="0" pivotButton="0" quotePrefix="0" xfId="0"/>
    <xf numFmtId="9" fontId="67" fillId="0" borderId="0" pivotButton="0" quotePrefix="0" xfId="0"/>
    <xf numFmtId="0" fontId="68" fillId="0" borderId="0" pivotButton="0" quotePrefix="0" xfId="0"/>
    <xf numFmtId="0" fontId="69" fillId="0" borderId="0" pivotButton="0" quotePrefix="0" xfId="0"/>
    <xf numFmtId="0" fontId="66" fillId="0" borderId="0" applyAlignment="1" pivotButton="0" quotePrefix="0" xfId="0">
      <alignment wrapText="1"/>
    </xf>
    <xf numFmtId="0" fontId="0" fillId="0" borderId="0" applyAlignment="1" pivotButton="0" quotePrefix="0" xfId="0">
      <alignment horizontal="right"/>
    </xf>
    <xf numFmtId="9" fontId="0" fillId="0" borderId="0" applyAlignment="1" pivotButton="0" quotePrefix="0" xfId="0">
      <alignment horizontal="right"/>
    </xf>
    <xf numFmtId="0" fontId="70" fillId="2" borderId="0" applyAlignment="1" pivotButton="0" quotePrefix="0" xfId="0">
      <alignment horizontal="center"/>
    </xf>
    <xf numFmtId="9" fontId="0" fillId="16" borderId="0" pivotButton="0" quotePrefix="0" xfId="0"/>
    <xf numFmtId="0" fontId="0" fillId="16" borderId="0" pivotButton="0" quotePrefix="0" xfId="0"/>
    <xf numFmtId="0" fontId="70" fillId="3" borderId="0" applyAlignment="1" pivotButton="0" quotePrefix="0" xfId="0">
      <alignment horizontal="center"/>
    </xf>
    <xf numFmtId="0" fontId="71" fillId="0" borderId="0" pivotButton="0" quotePrefix="0" xfId="0"/>
    <xf numFmtId="179" fontId="0" fillId="0" borderId="0" pivotButton="0" quotePrefix="0" xfId="0"/>
    <xf numFmtId="0" fontId="72" fillId="0" borderId="0" pivotButton="0" quotePrefix="0" xfId="0"/>
    <xf numFmtId="0" fontId="73" fillId="0" borderId="0" pivotButton="0" quotePrefix="0" xfId="0"/>
    <xf numFmtId="0" fontId="74" fillId="0" borderId="0" pivotButton="0" quotePrefix="0" xfId="0"/>
    <xf numFmtId="0" fontId="75" fillId="0" borderId="0" applyAlignment="1" pivotButton="0" quotePrefix="0" xfId="0">
      <alignment wrapText="1"/>
    </xf>
    <xf numFmtId="0" fontId="76" fillId="0" borderId="0" pivotButton="0" quotePrefix="0" xfId="0"/>
    <xf numFmtId="10" fontId="73" fillId="0" borderId="0" pivotButton="0" quotePrefix="0" xfId="0"/>
    <xf numFmtId="0" fontId="69" fillId="0" borderId="0" applyAlignment="1" pivotButton="0" quotePrefix="0" xfId="0">
      <alignment wrapText="1"/>
    </xf>
    <xf numFmtId="9" fontId="77" fillId="0" borderId="0" pivotButton="0" quotePrefix="0" xfId="0"/>
    <xf numFmtId="0" fontId="73" fillId="16" borderId="0" pivotButton="0" quotePrefix="0" xfId="0"/>
    <xf numFmtId="0" fontId="74" fillId="16" borderId="0" pivotButton="0" quotePrefix="0" xfId="0"/>
    <xf numFmtId="0" fontId="71" fillId="16" borderId="0" applyAlignment="1" pivotButton="0" quotePrefix="0" xfId="0">
      <alignment horizontal="center"/>
    </xf>
    <xf numFmtId="0" fontId="75" fillId="16" borderId="0" applyAlignment="1" pivotButton="0" quotePrefix="0" xfId="0">
      <alignment wrapText="1"/>
    </xf>
    <xf numFmtId="0" fontId="73" fillId="17" borderId="0" pivotButton="0" quotePrefix="0" xfId="0"/>
    <xf numFmtId="0" fontId="74" fillId="17" borderId="0" pivotButton="0" quotePrefix="0" xfId="0"/>
    <xf numFmtId="0" fontId="78" fillId="17" borderId="0" applyAlignment="1" pivotButton="0" quotePrefix="0" xfId="0">
      <alignment horizontal="center"/>
    </xf>
    <xf numFmtId="0" fontId="75" fillId="17" borderId="0" applyAlignment="1" pivotButton="0" quotePrefix="0" xfId="0">
      <alignment wrapText="1"/>
    </xf>
    <xf numFmtId="0" fontId="79" fillId="17" borderId="0" applyAlignment="1" pivotButton="0" quotePrefix="0" xfId="0">
      <alignment horizontal="center" wrapText="1"/>
    </xf>
    <xf numFmtId="0" fontId="78" fillId="17" borderId="0" applyAlignment="1" pivotButton="0" quotePrefix="0" xfId="0">
      <alignment horizontal="center" wrapText="1"/>
    </xf>
    <xf numFmtId="0" fontId="80" fillId="17" borderId="0" applyAlignment="1" pivotButton="0" quotePrefix="0" xfId="0">
      <alignment horizontal="left" wrapText="1"/>
    </xf>
    <xf numFmtId="0" fontId="73" fillId="18" borderId="0" pivotButton="0" quotePrefix="0" xfId="0"/>
    <xf numFmtId="0" fontId="78" fillId="18" borderId="0" applyAlignment="1" pivotButton="0" quotePrefix="0" xfId="0">
      <alignment horizontal="center" wrapText="1"/>
    </xf>
    <xf numFmtId="0" fontId="79" fillId="18" borderId="0" applyAlignment="1" pivotButton="0" quotePrefix="0" xfId="0">
      <alignment horizontal="center" wrapText="1"/>
    </xf>
    <xf numFmtId="0" fontId="80" fillId="18" borderId="0" applyAlignment="1" pivotButton="0" quotePrefix="0" xfId="0">
      <alignment horizontal="left" wrapText="1"/>
    </xf>
    <xf numFmtId="0" fontId="71" fillId="17" borderId="0" applyAlignment="1" pivotButton="0" quotePrefix="0" xfId="0">
      <alignment horizontal="center" wrapText="1"/>
    </xf>
    <xf numFmtId="0" fontId="74" fillId="16" borderId="0" applyAlignment="1" pivotButton="0" quotePrefix="0" xfId="0">
      <alignment horizontal="center"/>
    </xf>
    <xf numFmtId="0" fontId="74" fillId="17" borderId="0" applyAlignment="1" pivotButton="0" quotePrefix="0" xfId="0">
      <alignment horizontal="center"/>
    </xf>
    <xf numFmtId="174" fontId="73" fillId="16" borderId="0" applyAlignment="1" pivotButton="0" quotePrefix="0" xfId="0">
      <alignment horizontal="right"/>
    </xf>
    <xf numFmtId="180" fontId="71" fillId="16" borderId="0" applyAlignment="1" pivotButton="0" quotePrefix="0" xfId="0">
      <alignment horizontal="right"/>
    </xf>
    <xf numFmtId="0" fontId="73" fillId="19" borderId="0" pivotButton="0" quotePrefix="0" xfId="0"/>
    <xf numFmtId="174" fontId="73" fillId="19" borderId="0" applyAlignment="1" pivotButton="0" quotePrefix="0" xfId="0">
      <alignment horizontal="right"/>
    </xf>
    <xf numFmtId="0" fontId="81" fillId="19" borderId="0" applyAlignment="1" pivotButton="0" quotePrefix="0" xfId="0">
      <alignment horizontal="center"/>
    </xf>
    <xf numFmtId="180" fontId="71" fillId="19" borderId="0" applyAlignment="1" pivotButton="0" quotePrefix="0" xfId="0">
      <alignment horizontal="right"/>
    </xf>
    <xf numFmtId="180" fontId="78" fillId="19" borderId="0" applyAlignment="1" pivotButton="0" quotePrefix="0" xfId="0">
      <alignment horizontal="right"/>
    </xf>
    <xf numFmtId="174" fontId="73" fillId="17" borderId="0" applyAlignment="1" pivotButton="0" quotePrefix="0" xfId="0">
      <alignment horizontal="right"/>
    </xf>
    <xf numFmtId="180" fontId="78" fillId="17" borderId="0" applyAlignment="1" pivotButton="0" quotePrefix="0" xfId="0">
      <alignment horizontal="right"/>
    </xf>
    <xf numFmtId="1" fontId="0" fillId="0" borderId="0" applyAlignment="1" pivotButton="0" quotePrefix="0" xfId="0">
      <alignment horizontal="right"/>
    </xf>
    <xf numFmtId="0" fontId="82" fillId="0" borderId="0" applyAlignment="1" pivotButton="0" quotePrefix="0" xfId="0">
      <alignment horizontal="right"/>
    </xf>
    <xf numFmtId="0" fontId="74" fillId="19" borderId="0" pivotButton="0" quotePrefix="0" xfId="0"/>
    <xf numFmtId="9" fontId="0" fillId="19" borderId="0" pivotButton="0" quotePrefix="0" xfId="0"/>
    <xf numFmtId="181" fontId="0" fillId="19" borderId="0" pivotButton="0" quotePrefix="0" xfId="0"/>
    <xf numFmtId="0" fontId="70" fillId="20" borderId="0" pivotButton="0" quotePrefix="0" xfId="0"/>
    <xf numFmtId="181" fontId="0" fillId="0" borderId="0" pivotButton="0" quotePrefix="0" xfId="0"/>
    <xf numFmtId="0" fontId="78" fillId="0" borderId="0" pivotButton="0" quotePrefix="0" xfId="0"/>
    <xf numFmtId="2" fontId="0" fillId="0" borderId="0" applyAlignment="1" pivotButton="0" quotePrefix="0" xfId="0">
      <alignment horizontal="right"/>
    </xf>
    <xf numFmtId="164" fontId="0" fillId="0" borderId="0" applyAlignment="1" pivotButton="0" quotePrefix="0" xfId="0">
      <alignment horizontal="right"/>
    </xf>
    <xf numFmtId="0" fontId="70" fillId="2" borderId="0" pivotButton="0" quotePrefix="0" xfId="0"/>
    <xf numFmtId="0" fontId="83" fillId="0" borderId="0" pivotButton="0" quotePrefix="0" xfId="0"/>
    <xf numFmtId="0" fontId="73" fillId="5" borderId="0" pivotButton="0" quotePrefix="0" xfId="0"/>
    <xf numFmtId="164" fontId="0" fillId="5" borderId="0" pivotButton="0" quotePrefix="0" xfId="0"/>
    <xf numFmtId="179" fontId="84" fillId="5" borderId="0" pivotButton="0" quotePrefix="0" xfId="0"/>
    <xf numFmtId="165" fontId="0" fillId="5" borderId="0" pivotButton="0" quotePrefix="0" xfId="0"/>
    <xf numFmtId="0" fontId="78" fillId="5" borderId="0" pivotButton="0" quotePrefix="0" xfId="0"/>
    <xf numFmtId="0" fontId="73" fillId="13" borderId="0" pivotButton="0" quotePrefix="0" xfId="0"/>
    <xf numFmtId="164" fontId="0" fillId="13" borderId="0" pivotButton="0" quotePrefix="0" xfId="0"/>
    <xf numFmtId="179" fontId="72" fillId="13" borderId="0" pivotButton="0" quotePrefix="0" xfId="0"/>
    <xf numFmtId="165" fontId="0" fillId="13" borderId="0" pivotButton="0" quotePrefix="0" xfId="0"/>
    <xf numFmtId="0" fontId="71" fillId="13" borderId="0" pivotButton="0" quotePrefix="0" xfId="0"/>
    <xf numFmtId="164" fontId="0" fillId="0" borderId="0" pivotButton="0" quotePrefix="0" xfId="0"/>
    <xf numFmtId="0" fontId="44" fillId="5" borderId="1" pivotButton="0" quotePrefix="0" xfId="0"/>
    <xf numFmtId="0" fontId="45" fillId="5" borderId="1" pivotButton="0" quotePrefix="0" xfId="0"/>
    <xf numFmtId="0" fontId="25" fillId="4" borderId="1" pivotButton="0" quotePrefix="0" xfId="0"/>
    <xf numFmtId="0" fontId="60" fillId="4" borderId="1" pivotButton="0" quotePrefix="0" xfId="0"/>
    <xf numFmtId="0" fontId="60" fillId="5" borderId="1" pivotButton="0" quotePrefix="0" xfId="0"/>
    <xf numFmtId="0" fontId="24" fillId="20" borderId="1" pivotButton="0" quotePrefix="0" xfId="0"/>
    <xf numFmtId="0" fontId="38" fillId="20" borderId="1" pivotButton="0" quotePrefix="0" xfId="0"/>
    <xf numFmtId="0" fontId="24" fillId="15" borderId="1" pivotButton="0" quotePrefix="0" xfId="0"/>
    <xf numFmtId="0" fontId="38" fillId="15" borderId="1" pivotButton="0" quotePrefix="0" xfId="0"/>
    <xf numFmtId="0" fontId="24" fillId="11" borderId="1" pivotButton="0" quotePrefix="0" xfId="0"/>
    <xf numFmtId="0" fontId="38" fillId="11" borderId="1" pivotButton="0" quotePrefix="0" xfId="0"/>
    <xf numFmtId="0" fontId="57" fillId="4" borderId="1" pivotButton="0" quotePrefix="0" xfId="0"/>
    <xf numFmtId="0" fontId="26" fillId="3" borderId="1" pivotButton="0" quotePrefix="0" xfId="0"/>
    <xf numFmtId="0" fontId="54" fillId="4" borderId="1" pivotButton="0" quotePrefix="0" xfId="0"/>
    <xf numFmtId="0" fontId="54" fillId="0" borderId="1" pivotButton="0" quotePrefix="0" xfId="0"/>
    <xf numFmtId="0" fontId="85" fillId="0" borderId="1" pivotButton="0" quotePrefix="0" xfId="0"/>
    <xf numFmtId="0" fontId="86" fillId="0" borderId="1" pivotButton="0" quotePrefix="0" xfId="0"/>
    <xf numFmtId="0" fontId="28" fillId="0" borderId="1" pivotButton="0" quotePrefix="0" xfId="0"/>
    <xf numFmtId="0" fontId="27" fillId="14" borderId="1" pivotButton="0" quotePrefix="0" xfId="0"/>
    <xf numFmtId="0" fontId="48" fillId="0" borderId="1" pivotButton="0" quotePrefix="0" xfId="0"/>
    <xf numFmtId="0" fontId="44" fillId="0" borderId="1" pivotButton="0" quotePrefix="0" xfId="0"/>
    <xf numFmtId="0" fontId="63" fillId="5" borderId="1" pivotButton="0" quotePrefix="0" xfId="0"/>
    <xf numFmtId="0" fontId="62" fillId="4" borderId="1" pivotButton="0" quotePrefix="0" xfId="0"/>
    <xf numFmtId="0" fontId="48" fillId="4" borderId="1" pivotButton="0" quotePrefix="0" xfId="0"/>
    <xf numFmtId="0" fontId="44" fillId="4" borderId="1" pivotButton="0" quotePrefix="0" xfId="0"/>
    <xf numFmtId="0" fontId="48" fillId="5" borderId="1" pivotButton="0" quotePrefix="0" xfId="0"/>
    <xf numFmtId="0" fontId="63" fillId="4" borderId="1" pivotButton="0" quotePrefix="0" xfId="0"/>
    <xf numFmtId="0" fontId="25" fillId="0" borderId="0" pivotButton="0" quotePrefix="0" xfId="0"/>
    <xf numFmtId="0" fontId="26" fillId="14" borderId="1" pivotButton="0" quotePrefix="0" xfId="0"/>
    <xf numFmtId="0" fontId="27" fillId="11" borderId="1" pivotButton="0" quotePrefix="0" xfId="0"/>
    <xf numFmtId="0" fontId="87" fillId="2" borderId="0" pivotButton="0" quotePrefix="0" xfId="0"/>
    <xf numFmtId="0" fontId="42" fillId="11" borderId="1" pivotButton="0" quotePrefix="0" xfId="0"/>
    <xf numFmtId="0" fontId="24" fillId="3" borderId="17" applyAlignment="1" applyProtection="1" pivotButton="0" quotePrefix="0" xfId="0">
      <alignment horizontal="center" vertical="center"/>
      <protection locked="0" hidden="0"/>
    </xf>
    <xf numFmtId="165" fontId="22" fillId="5" borderId="1" applyAlignment="1" applyProtection="1" pivotButton="0" quotePrefix="0" xfId="0">
      <alignment horizontal="right" vertical="center"/>
      <protection locked="0" hidden="0"/>
    </xf>
    <xf numFmtId="165" fontId="55" fillId="4" borderId="1" applyAlignment="1" pivotButton="0" quotePrefix="0" xfId="0">
      <alignment horizontal="right" vertical="center"/>
    </xf>
    <xf numFmtId="165" fontId="2" fillId="4" borderId="1" applyAlignment="1" pivotButton="0" quotePrefix="0" xfId="0">
      <alignment horizontal="right" vertical="center"/>
    </xf>
    <xf numFmtId="169" fontId="2" fillId="4" borderId="1" applyAlignment="1" pivotButton="0" quotePrefix="0" xfId="0">
      <alignment horizontal="right" vertical="center"/>
    </xf>
    <xf numFmtId="176" fontId="45" fillId="4" borderId="1" applyAlignment="1" pivotButton="0" quotePrefix="0" xfId="0">
      <alignment horizontal="right" vertical="center"/>
    </xf>
    <xf numFmtId="166" fontId="22" fillId="5" borderId="1" applyAlignment="1" applyProtection="1" pivotButton="0" quotePrefix="0" xfId="0">
      <alignment horizontal="right" vertical="center"/>
      <protection locked="0" hidden="0"/>
    </xf>
    <xf numFmtId="166" fontId="2" fillId="4" borderId="1" applyAlignment="1" pivotButton="0" quotePrefix="0" xfId="0">
      <alignment horizontal="right" vertical="center"/>
    </xf>
    <xf numFmtId="182" fontId="2" fillId="4" borderId="1" applyAlignment="1" pivotButton="0" quotePrefix="0" xfId="0">
      <alignment horizontal="right" vertical="center"/>
    </xf>
    <xf numFmtId="166" fontId="22" fillId="5" borderId="1" applyAlignment="1" pivotButton="0" quotePrefix="0" xfId="0">
      <alignment horizontal="right" vertical="center"/>
    </xf>
    <xf numFmtId="0" fontId="35" fillId="5" borderId="0" pivotButton="0" quotePrefix="0" xfId="0"/>
    <xf numFmtId="0" fontId="0" fillId="5" borderId="1" pivotButton="0" quotePrefix="0" xfId="0"/>
    <xf numFmtId="0" fontId="55" fillId="4" borderId="1" applyAlignment="1" pivotButton="0" quotePrefix="0" xfId="0">
      <alignment horizontal="left" vertical="center"/>
    </xf>
    <xf numFmtId="0" fontId="13" fillId="5" borderId="1" applyAlignment="1" pivotButton="0" quotePrefix="0" xfId="0">
      <alignment horizontal="center" vertical="center"/>
    </xf>
    <xf numFmtId="0" fontId="44" fillId="4" borderId="1" applyAlignment="1" pivotButton="0" quotePrefix="0" xfId="0">
      <alignment horizontal="center" vertical="center"/>
    </xf>
    <xf numFmtId="0" fontId="55" fillId="4" borderId="1" applyAlignment="1" pivotButton="0" quotePrefix="0" xfId="0">
      <alignment horizontal="center" vertical="center"/>
    </xf>
    <xf numFmtId="0" fontId="13" fillId="5" borderId="1" applyAlignment="1" pivotButton="0" quotePrefix="0" xfId="0">
      <alignment horizontal="left" vertical="center"/>
    </xf>
    <xf numFmtId="0" fontId="58" fillId="4" borderId="1" applyAlignment="1" pivotButton="0" quotePrefix="0" xfId="0">
      <alignment horizontal="center" vertical="center"/>
    </xf>
    <xf numFmtId="167" fontId="22" fillId="4" borderId="1" applyAlignment="1" applyProtection="1" pivotButton="0" quotePrefix="0" xfId="0">
      <alignment horizontal="right" vertical="center"/>
      <protection locked="0" hidden="0"/>
    </xf>
    <xf numFmtId="168" fontId="22" fillId="4" borderId="1" applyAlignment="1" applyProtection="1" pivotButton="0" quotePrefix="0" xfId="0">
      <alignment horizontal="right" vertical="center"/>
      <protection locked="0" hidden="0"/>
    </xf>
    <xf numFmtId="165" fontId="22" fillId="4" borderId="1" applyAlignment="1" applyProtection="1" pivotButton="0" quotePrefix="0" xfId="0">
      <alignment horizontal="right" vertical="center"/>
      <protection locked="0" hidden="0"/>
    </xf>
    <xf numFmtId="176" fontId="22" fillId="5" borderId="1" applyAlignment="1" pivotButton="0" quotePrefix="0" xfId="0">
      <alignment horizontal="center" vertical="center"/>
    </xf>
    <xf numFmtId="167" fontId="22" fillId="5" borderId="1" applyAlignment="1" pivotButton="0" quotePrefix="0" xfId="0">
      <alignment horizontal="right" vertical="center"/>
    </xf>
    <xf numFmtId="165" fontId="22" fillId="5" borderId="1" applyAlignment="1" pivotButton="0" quotePrefix="0" xfId="0">
      <alignment horizontal="right" vertical="center"/>
    </xf>
    <xf numFmtId="176" fontId="55" fillId="4" borderId="1" applyAlignment="1" pivotButton="0" quotePrefix="0" xfId="0">
      <alignment horizontal="center" vertical="center"/>
    </xf>
    <xf numFmtId="167" fontId="55" fillId="4" borderId="1" applyAlignment="1" pivotButton="0" quotePrefix="0" xfId="0">
      <alignment horizontal="right" vertical="center"/>
    </xf>
    <xf numFmtId="165" fontId="22" fillId="4" borderId="1" applyAlignment="1" pivotButton="0" quotePrefix="0" xfId="0">
      <alignment horizontal="right" vertical="center"/>
    </xf>
    <xf numFmtId="169" fontId="44" fillId="4" borderId="1" applyAlignment="1" pivotButton="0" quotePrefix="0" xfId="0">
      <alignment horizontal="right" vertical="center"/>
    </xf>
    <xf numFmtId="167" fontId="22" fillId="4" borderId="1" applyAlignment="1" pivotButton="0" quotePrefix="0" xfId="0">
      <alignment horizontal="right" vertical="center"/>
    </xf>
    <xf numFmtId="183" fontId="44" fillId="4" borderId="1" applyAlignment="1" pivotButton="0" quotePrefix="0" xfId="0">
      <alignment horizontal="right" vertical="center"/>
    </xf>
    <xf numFmtId="184" fontId="22" fillId="4" borderId="1" applyAlignment="1" pivotButton="0" quotePrefix="0" xfId="0">
      <alignment horizontal="right" vertical="center"/>
    </xf>
    <xf numFmtId="169" fontId="22" fillId="4" borderId="1" applyAlignment="1" pivotButton="0" quotePrefix="0" xfId="0">
      <alignment horizontal="right" vertical="center"/>
    </xf>
    <xf numFmtId="185" fontId="55" fillId="13" borderId="1" applyAlignment="1" pivotButton="0" quotePrefix="0" xfId="0">
      <alignment horizontal="center" vertical="center"/>
    </xf>
    <xf numFmtId="185" fontId="21" fillId="5" borderId="1" applyAlignment="1" pivotButton="0" quotePrefix="0" xfId="0">
      <alignment horizontal="center" vertical="center"/>
    </xf>
    <xf numFmtId="185" fontId="55" fillId="5" borderId="1" applyAlignment="1" pivotButton="0" quotePrefix="0" xfId="0">
      <alignment horizontal="center" vertical="center"/>
    </xf>
    <xf numFmtId="185" fontId="55" fillId="12" borderId="1" applyAlignment="1" pivotButton="0" quotePrefix="0" xfId="0">
      <alignment horizontal="center" vertical="center"/>
    </xf>
    <xf numFmtId="0" fontId="22" fillId="4" borderId="1" pivotButton="0" quotePrefix="0" xfId="0"/>
    <xf numFmtId="169" fontId="57" fillId="4" borderId="1" applyAlignment="1" pivotButton="0" quotePrefix="0" xfId="0">
      <alignment horizontal="right" vertical="center"/>
    </xf>
    <xf numFmtId="0" fontId="88" fillId="4" borderId="1" applyAlignment="1" pivotButton="0" quotePrefix="0" xfId="0">
      <alignment horizontal="center" vertical="center"/>
    </xf>
    <xf numFmtId="165" fontId="22" fillId="12" borderId="1" applyAlignment="1" pivotButton="0" quotePrefix="0" xfId="0">
      <alignment horizontal="right" vertical="center"/>
    </xf>
    <xf numFmtId="165" fontId="2" fillId="12" borderId="1" applyAlignment="1" pivotButton="0" quotePrefix="0" xfId="0">
      <alignment horizontal="right" vertical="center"/>
    </xf>
    <xf numFmtId="169" fontId="60" fillId="12" borderId="1" applyAlignment="1" pivotButton="0" quotePrefix="0" xfId="0">
      <alignment horizontal="right" vertical="center"/>
    </xf>
    <xf numFmtId="0" fontId="89" fillId="12" borderId="1" applyAlignment="1" pivotButton="0" quotePrefix="0" xfId="0">
      <alignment horizontal="center" vertical="center"/>
    </xf>
    <xf numFmtId="0" fontId="37" fillId="12" borderId="1" pivotButton="0" quotePrefix="0" xfId="0"/>
    <xf numFmtId="0" fontId="55" fillId="19" borderId="1" pivotButton="0" quotePrefix="0" xfId="0"/>
    <xf numFmtId="165" fontId="22" fillId="19" borderId="1" applyAlignment="1" pivotButton="0" quotePrefix="0" xfId="0">
      <alignment horizontal="right" vertical="center"/>
    </xf>
    <xf numFmtId="165" fontId="2" fillId="19" borderId="1" applyAlignment="1" pivotButton="0" quotePrefix="0" xfId="0">
      <alignment horizontal="right" vertical="center"/>
    </xf>
    <xf numFmtId="169" fontId="57" fillId="19" borderId="1" applyAlignment="1" pivotButton="0" quotePrefix="0" xfId="0">
      <alignment horizontal="right" vertical="center"/>
    </xf>
    <xf numFmtId="0" fontId="90" fillId="19" borderId="1" applyAlignment="1" pivotButton="0" quotePrefix="0" xfId="0">
      <alignment horizontal="center" vertical="center"/>
    </xf>
    <xf numFmtId="0" fontId="37" fillId="19" borderId="1" pivotButton="0" quotePrefix="0" xfId="0"/>
    <xf numFmtId="169" fontId="57" fillId="12" borderId="1" applyAlignment="1" pivotButton="0" quotePrefix="0" xfId="0">
      <alignment horizontal="right" vertical="center"/>
    </xf>
    <xf numFmtId="0" fontId="48" fillId="4" borderId="1" applyAlignment="1" pivotButton="0" quotePrefix="0" xfId="0">
      <alignment horizontal="center" vertical="center"/>
    </xf>
    <xf numFmtId="0" fontId="0" fillId="5" borderId="1" applyProtection="1" pivotButton="0" quotePrefix="0" xfId="0">
      <protection locked="0" hidden="0"/>
    </xf>
    <xf numFmtId="0" fontId="25" fillId="5" borderId="1" applyProtection="1" pivotButton="0" quotePrefix="0" xfId="0">
      <protection locked="0" hidden="0"/>
    </xf>
    <xf numFmtId="0" fontId="0" fillId="0" borderId="0" applyProtection="1" pivotButton="0" quotePrefix="0" xfId="0">
      <protection locked="0" hidden="0"/>
    </xf>
    <xf numFmtId="0" fontId="91" fillId="2" borderId="0" applyAlignment="1" pivotButton="0" quotePrefix="0" xfId="0">
      <alignment horizontal="left" vertical="top" wrapText="1"/>
    </xf>
    <xf numFmtId="0" fontId="92" fillId="2" borderId="0" applyAlignment="1" pivotButton="0" quotePrefix="0" xfId="0">
      <alignment horizontal="center" vertical="center" wrapText="1"/>
    </xf>
    <xf numFmtId="0" fontId="93" fillId="2" borderId="0" applyAlignment="1" pivotButton="0" quotePrefix="0" xfId="0">
      <alignment horizontal="center" vertical="center" wrapText="1"/>
    </xf>
    <xf numFmtId="0" fontId="94" fillId="2" borderId="0" applyAlignment="1" pivotButton="0" quotePrefix="0" xfId="0">
      <alignment horizontal="left" vertical="center" wrapText="1"/>
    </xf>
    <xf numFmtId="0" fontId="95" fillId="15" borderId="0" applyAlignment="1" pivotButton="0" quotePrefix="0" xfId="0">
      <alignment horizontal="center" vertical="center" wrapText="1"/>
    </xf>
    <xf numFmtId="0" fontId="96" fillId="16" borderId="0" applyAlignment="1" pivotButton="0" quotePrefix="0" xfId="0">
      <alignment horizontal="left" vertical="center" wrapText="1"/>
    </xf>
    <xf numFmtId="164" fontId="97" fillId="16" borderId="0" applyAlignment="1" pivotButton="0" quotePrefix="0" xfId="0">
      <alignment horizontal="center" vertical="center" wrapText="1"/>
    </xf>
    <xf numFmtId="0" fontId="98" fillId="16" borderId="0" applyAlignment="1" pivotButton="0" quotePrefix="0" xfId="0">
      <alignment horizontal="center" vertical="center" wrapText="1"/>
    </xf>
    <xf numFmtId="0" fontId="99" fillId="16" borderId="0" applyAlignment="1" pivotButton="0" quotePrefix="0" xfId="0">
      <alignment horizontal="left" vertical="center" wrapText="1"/>
    </xf>
    <xf numFmtId="0" fontId="100" fillId="5" borderId="0" applyAlignment="1" pivotButton="0" quotePrefix="0" xfId="0">
      <alignment horizontal="left" vertical="center" wrapText="1"/>
    </xf>
    <xf numFmtId="164" fontId="101" fillId="5" borderId="0" applyAlignment="1" pivotButton="0" quotePrefix="0" xfId="0">
      <alignment horizontal="center" vertical="center" wrapText="1"/>
    </xf>
    <xf numFmtId="0" fontId="98" fillId="5" borderId="0" applyAlignment="1" pivotButton="0" quotePrefix="0" xfId="0">
      <alignment horizontal="center" vertical="center" wrapText="1"/>
    </xf>
    <xf numFmtId="0" fontId="99" fillId="5" borderId="0" applyAlignment="1" pivotButton="0" quotePrefix="0" xfId="0">
      <alignment horizontal="left" vertical="center" wrapText="1"/>
    </xf>
    <xf numFmtId="0" fontId="102" fillId="5" borderId="0" applyAlignment="1" pivotButton="0" quotePrefix="0" xfId="0">
      <alignment horizontal="left" vertical="center" wrapText="1"/>
    </xf>
    <xf numFmtId="164" fontId="103" fillId="5" borderId="0" applyAlignment="1" pivotButton="0" quotePrefix="0" xfId="0">
      <alignment horizontal="center" vertical="center" wrapText="1"/>
    </xf>
    <xf numFmtId="0" fontId="104" fillId="5" borderId="0" applyAlignment="1" pivotButton="0" quotePrefix="0" xfId="0">
      <alignment horizontal="center" vertical="center" wrapText="1"/>
    </xf>
    <xf numFmtId="0" fontId="105" fillId="2" borderId="0" applyAlignment="1" pivotButton="0" quotePrefix="0" xfId="0">
      <alignment horizontal="left" vertical="center" wrapText="1"/>
    </xf>
    <xf numFmtId="0" fontId="64" fillId="15" borderId="0" applyAlignment="1" pivotButton="0" quotePrefix="0" xfId="0">
      <alignment horizontal="center" vertical="center" wrapText="1"/>
    </xf>
    <xf numFmtId="0" fontId="106" fillId="5" borderId="0" applyAlignment="1" pivotButton="0" quotePrefix="0" xfId="0">
      <alignment horizontal="left" vertical="center" wrapText="1"/>
    </xf>
    <xf numFmtId="0" fontId="106" fillId="5" borderId="0" applyAlignment="1" pivotButton="0" quotePrefix="0" xfId="0">
      <alignment horizontal="center" vertical="center" wrapText="1"/>
    </xf>
    <xf numFmtId="164" fontId="106" fillId="5" borderId="0" applyAlignment="1" pivotButton="0" quotePrefix="0" xfId="0">
      <alignment horizontal="center" vertical="center" wrapText="1"/>
    </xf>
    <xf numFmtId="0" fontId="106" fillId="4" borderId="0" applyAlignment="1" pivotButton="0" quotePrefix="0" xfId="0">
      <alignment horizontal="left" vertical="center" wrapText="1"/>
    </xf>
    <xf numFmtId="0" fontId="106" fillId="4" borderId="0" applyAlignment="1" pivotButton="0" quotePrefix="0" xfId="0">
      <alignment horizontal="center" vertical="center" wrapText="1"/>
    </xf>
    <xf numFmtId="164" fontId="106" fillId="4" borderId="0" applyAlignment="1" pivotButton="0" quotePrefix="0" xfId="0">
      <alignment horizontal="center" vertical="center" wrapText="1"/>
    </xf>
    <xf numFmtId="0" fontId="107" fillId="5" borderId="0" applyAlignment="1" pivotButton="0" quotePrefix="0" xfId="0">
      <alignment horizontal="left" vertical="center" wrapText="1"/>
    </xf>
    <xf numFmtId="0" fontId="107" fillId="5" borderId="0" applyAlignment="1" pivotButton="0" quotePrefix="0" xfId="0">
      <alignment horizontal="center" vertical="center" wrapText="1"/>
    </xf>
    <xf numFmtId="164" fontId="107" fillId="5" borderId="0" applyAlignment="1" pivotButton="0" quotePrefix="0" xfId="0">
      <alignment horizontal="center" vertical="center" wrapText="1"/>
    </xf>
    <xf numFmtId="0" fontId="108" fillId="5" borderId="0" applyAlignment="1" pivotButton="0" quotePrefix="0" xfId="0">
      <alignment horizontal="center" vertical="center" wrapText="1"/>
    </xf>
    <xf numFmtId="0" fontId="109" fillId="5" borderId="0" applyAlignment="1" pivotButton="0" quotePrefix="0" xfId="0">
      <alignment horizontal="left" vertical="center" wrapText="1"/>
    </xf>
    <xf numFmtId="0" fontId="110" fillId="5" borderId="0" applyAlignment="1" pivotButton="0" quotePrefix="0" xfId="0">
      <alignment horizontal="center" vertical="center" wrapText="1"/>
    </xf>
    <xf numFmtId="0" fontId="100" fillId="4" borderId="0" applyAlignment="1" pivotButton="0" quotePrefix="0" xfId="0">
      <alignment horizontal="left" vertical="center" wrapText="1"/>
    </xf>
    <xf numFmtId="0" fontId="110" fillId="4" borderId="0" applyAlignment="1" pivotButton="0" quotePrefix="0" xfId="0">
      <alignment horizontal="center" vertical="center" wrapText="1"/>
    </xf>
    <xf numFmtId="0" fontId="109" fillId="4" borderId="0" applyAlignment="1" pivotButton="0" quotePrefix="0" xfId="0">
      <alignment horizontal="left" vertical="center" wrapText="1"/>
    </xf>
    <xf numFmtId="0" fontId="111" fillId="4" borderId="0" applyAlignment="1" pivotButton="0" quotePrefix="0" xfId="0">
      <alignment horizontal="center" vertical="center" wrapText="1"/>
    </xf>
    <xf numFmtId="0" fontId="111" fillId="5" borderId="0" applyAlignment="1" pivotButton="0" quotePrefix="0" xfId="0">
      <alignment horizontal="center" vertical="center" wrapText="1"/>
    </xf>
    <xf numFmtId="0" fontId="112" fillId="5" borderId="0" applyAlignment="1" pivotButton="0" quotePrefix="0" xfId="0">
      <alignment horizontal="center" vertical="center" wrapText="1"/>
    </xf>
    <xf numFmtId="0" fontId="113" fillId="15" borderId="0" applyAlignment="1" pivotButton="0" quotePrefix="0" xfId="0">
      <alignment horizontal="center" vertical="center" wrapText="1"/>
    </xf>
    <xf numFmtId="0" fontId="114" fillId="5" borderId="0" applyAlignment="1" pivotButton="0" quotePrefix="0" xfId="0">
      <alignment horizontal="left" vertical="center" wrapText="1"/>
    </xf>
    <xf numFmtId="0" fontId="114" fillId="4" borderId="0" applyAlignment="1" pivotButton="0" quotePrefix="0" xfId="0">
      <alignment horizontal="left" vertical="center" wrapText="1"/>
    </xf>
    <xf numFmtId="186" fontId="106" fillId="5" borderId="0" applyAlignment="1" pivotButton="0" quotePrefix="0" xfId="0">
      <alignment horizontal="center" vertical="center" wrapText="1"/>
    </xf>
    <xf numFmtId="186" fontId="106" fillId="4" borderId="0" applyAlignment="1" pivotButton="0" quotePrefix="0" xfId="0">
      <alignment horizontal="center" vertical="center" wrapText="1"/>
    </xf>
    <xf numFmtId="0" fontId="115" fillId="5" borderId="0" applyAlignment="1" pivotButton="0" quotePrefix="0" xfId="0">
      <alignment horizontal="left" vertical="center" wrapText="1"/>
    </xf>
    <xf numFmtId="0" fontId="107" fillId="4" borderId="0" applyAlignment="1" pivotButton="0" quotePrefix="0" xfId="0">
      <alignment horizontal="left" vertical="center" wrapText="1"/>
    </xf>
    <xf numFmtId="0" fontId="115" fillId="4" borderId="0" applyAlignment="1" pivotButton="0" quotePrefix="0" xfId="0">
      <alignment horizontal="left" vertical="center" wrapText="1"/>
    </xf>
    <xf numFmtId="0" fontId="116" fillId="4" borderId="0" applyAlignment="1" pivotButton="0" quotePrefix="0" xfId="0">
      <alignment horizontal="left" vertical="center" wrapText="1"/>
    </xf>
    <xf numFmtId="0" fontId="117" fillId="2" borderId="0" applyAlignment="1" pivotButton="0" quotePrefix="0" xfId="0">
      <alignment horizontal="center" vertical="center" wrapText="1"/>
    </xf>
    <xf numFmtId="0" fontId="118" fillId="2" borderId="0" applyAlignment="1" pivotButton="0" quotePrefix="0" xfId="0">
      <alignment horizontal="center" vertical="center" wrapText="1"/>
    </xf>
    <xf numFmtId="0" fontId="119" fillId="2" borderId="0" applyAlignment="1" pivotButton="0" quotePrefix="0" xfId="0">
      <alignment horizontal="left" vertical="center" wrapText="1"/>
    </xf>
    <xf numFmtId="0" fontId="27" fillId="2" borderId="0" applyAlignment="1" pivotButton="0" quotePrefix="0" xfId="0">
      <alignment horizontal="center" vertical="center" wrapText="1"/>
    </xf>
    <xf numFmtId="0" fontId="120" fillId="5" borderId="0" applyAlignment="1" pivotButton="0" quotePrefix="0" xfId="0">
      <alignment horizontal="center" vertical="center" wrapText="1"/>
    </xf>
    <xf numFmtId="0" fontId="121" fillId="5" borderId="26" applyAlignment="1" pivotButton="0" quotePrefix="0" xfId="0">
      <alignment horizontal="left" vertical="center" wrapText="1"/>
    </xf>
    <xf numFmtId="0" fontId="7" fillId="5" borderId="26" applyAlignment="1" pivotButton="0" quotePrefix="0" xfId="0">
      <alignment horizontal="center" vertical="center" wrapText="1"/>
    </xf>
    <xf numFmtId="0" fontId="122" fillId="5" borderId="26" applyAlignment="1" pivotButton="0" quotePrefix="0" xfId="0">
      <alignment horizontal="center" vertical="center" wrapText="1"/>
    </xf>
    <xf numFmtId="0" fontId="123" fillId="5" borderId="26" applyAlignment="1" pivotButton="0" quotePrefix="0" xfId="0">
      <alignment horizontal="center" vertical="center" wrapText="1"/>
    </xf>
    <xf numFmtId="0" fontId="56" fillId="5" borderId="0" applyAlignment="1" pivotButton="0" quotePrefix="0" xfId="0">
      <alignment horizontal="center" vertical="center" wrapText="1"/>
    </xf>
    <xf numFmtId="0" fontId="124" fillId="5" borderId="26" applyAlignment="1" pivotButton="0" quotePrefix="0" xfId="0">
      <alignment horizontal="center" vertical="center" wrapText="1"/>
    </xf>
    <xf numFmtId="172" fontId="121" fillId="5" borderId="26" applyAlignment="1" pivotButton="0" quotePrefix="0" xfId="0">
      <alignment horizontal="center" vertical="center" wrapText="1"/>
    </xf>
    <xf numFmtId="187" fontId="121" fillId="5" borderId="26" applyAlignment="1" pivotButton="0" quotePrefix="0" xfId="0">
      <alignment horizontal="center" vertical="center" wrapText="1"/>
    </xf>
    <xf numFmtId="0" fontId="27" fillId="2" borderId="0" applyAlignment="1" pivotButton="0" quotePrefix="0" xfId="0">
      <alignment horizontal="left" vertical="center" wrapText="1"/>
    </xf>
    <xf numFmtId="0" fontId="24" fillId="2" borderId="26" applyAlignment="1" pivotButton="0" quotePrefix="0" xfId="0">
      <alignment horizontal="center" vertical="center" wrapText="1"/>
    </xf>
    <xf numFmtId="0" fontId="24" fillId="20" borderId="26" applyAlignment="1" pivotButton="0" quotePrefix="0" xfId="0">
      <alignment horizontal="center" vertical="center" wrapText="1"/>
    </xf>
    <xf numFmtId="0" fontId="24" fillId="3" borderId="26" applyAlignment="1" pivotButton="0" quotePrefix="0" xfId="0">
      <alignment horizontal="center" vertical="center" wrapText="1"/>
    </xf>
    <xf numFmtId="0" fontId="24" fillId="11" borderId="26" applyAlignment="1" pivotButton="0" quotePrefix="0" xfId="0">
      <alignment horizontal="center" vertical="center" wrapText="1"/>
    </xf>
    <xf numFmtId="0" fontId="24" fillId="14" borderId="26" applyAlignment="1" pivotButton="0" quotePrefix="0" xfId="0">
      <alignment horizontal="center" vertical="center" wrapText="1"/>
    </xf>
    <xf numFmtId="3" fontId="122" fillId="5" borderId="26" applyAlignment="1" pivotButton="0" quotePrefix="0" xfId="0">
      <alignment horizontal="center" vertical="center" wrapText="1"/>
    </xf>
    <xf numFmtId="165" fontId="31" fillId="5" borderId="26" applyAlignment="1" pivotButton="0" quotePrefix="0" xfId="0">
      <alignment horizontal="center" vertical="center" wrapText="1"/>
    </xf>
    <xf numFmtId="187" fontId="119" fillId="5" borderId="26" applyAlignment="1" pivotButton="0" quotePrefix="0" xfId="0">
      <alignment horizontal="center" vertical="center" wrapText="1"/>
    </xf>
    <xf numFmtId="187" fontId="125" fillId="5" borderId="26" applyAlignment="1" pivotButton="0" quotePrefix="0" xfId="0">
      <alignment horizontal="center" vertical="center" wrapText="1"/>
    </xf>
    <xf numFmtId="187" fontId="126" fillId="5" borderId="26" applyAlignment="1" pivotButton="0" quotePrefix="0" xfId="0">
      <alignment horizontal="center" vertical="center" wrapText="1"/>
    </xf>
    <xf numFmtId="0" fontId="121" fillId="4" borderId="26" applyAlignment="1" pivotButton="0" quotePrefix="0" xfId="0">
      <alignment horizontal="left" vertical="center" wrapText="1"/>
    </xf>
    <xf numFmtId="3" fontId="122" fillId="4" borderId="26" applyAlignment="1" pivotButton="0" quotePrefix="0" xfId="0">
      <alignment horizontal="center" vertical="center" wrapText="1"/>
    </xf>
    <xf numFmtId="165" fontId="31" fillId="4" borderId="26" applyAlignment="1" pivotButton="0" quotePrefix="0" xfId="0">
      <alignment horizontal="center" vertical="center" wrapText="1"/>
    </xf>
    <xf numFmtId="187" fontId="119" fillId="4" borderId="26" applyAlignment="1" pivotButton="0" quotePrefix="0" xfId="0">
      <alignment horizontal="center" vertical="center" wrapText="1"/>
    </xf>
    <xf numFmtId="187" fontId="125" fillId="4" borderId="26" applyAlignment="1" pivotButton="0" quotePrefix="0" xfId="0">
      <alignment horizontal="center" vertical="center" wrapText="1"/>
    </xf>
    <xf numFmtId="187" fontId="126" fillId="4" borderId="26" applyAlignment="1" pivotButton="0" quotePrefix="0" xfId="0">
      <alignment horizontal="center" vertical="center" wrapText="1"/>
    </xf>
    <xf numFmtId="0" fontId="28" fillId="19" borderId="26" applyAlignment="1" pivotButton="0" quotePrefix="0" xfId="0">
      <alignment horizontal="left" vertical="center" wrapText="1"/>
    </xf>
    <xf numFmtId="0" fontId="119" fillId="19" borderId="26" applyAlignment="1" pivotButton="0" quotePrefix="0" xfId="0">
      <alignment horizontal="left" vertical="center" wrapText="1"/>
    </xf>
    <xf numFmtId="187" fontId="127" fillId="19" borderId="26" applyAlignment="1" pivotButton="0" quotePrefix="0" xfId="0">
      <alignment horizontal="center" vertical="center" wrapText="1"/>
    </xf>
    <xf numFmtId="187" fontId="25" fillId="19" borderId="26" applyAlignment="1" pivotButton="0" quotePrefix="0" xfId="0">
      <alignment horizontal="center" vertical="center" wrapText="1"/>
    </xf>
    <xf numFmtId="3" fontId="128" fillId="5" borderId="26" applyAlignment="1" pivotButton="0" quotePrefix="0" xfId="0">
      <alignment horizontal="center" vertical="center" wrapText="1"/>
    </xf>
    <xf numFmtId="3" fontId="127" fillId="5" borderId="26" applyAlignment="1" pivotButton="0" quotePrefix="0" xfId="0">
      <alignment horizontal="center" vertical="center" wrapText="1"/>
    </xf>
    <xf numFmtId="9" fontId="13" fillId="5" borderId="26" applyAlignment="1" pivotButton="0" quotePrefix="0" xfId="0">
      <alignment horizontal="center" vertical="center" wrapText="1"/>
    </xf>
    <xf numFmtId="9" fontId="127" fillId="5" borderId="26" applyAlignment="1" pivotButton="0" quotePrefix="0" xfId="0">
      <alignment horizontal="center" vertical="center" wrapText="1"/>
    </xf>
    <xf numFmtId="0" fontId="55" fillId="5" borderId="26" applyAlignment="1" pivotButton="0" quotePrefix="0" xfId="0">
      <alignment horizontal="center" vertical="center" wrapText="1"/>
    </xf>
    <xf numFmtId="0" fontId="37" fillId="5" borderId="26" applyAlignment="1" pivotButton="0" quotePrefix="0" xfId="0">
      <alignment horizontal="left" vertical="center" wrapText="1"/>
    </xf>
    <xf numFmtId="3" fontId="128" fillId="4" borderId="26" applyAlignment="1" pivotButton="0" quotePrefix="0" xfId="0">
      <alignment horizontal="center" vertical="center" wrapText="1"/>
    </xf>
    <xf numFmtId="3" fontId="127" fillId="4" borderId="26" applyAlignment="1" pivotButton="0" quotePrefix="0" xfId="0">
      <alignment horizontal="center" vertical="center" wrapText="1"/>
    </xf>
    <xf numFmtId="9" fontId="13" fillId="4" borderId="26" applyAlignment="1" pivotButton="0" quotePrefix="0" xfId="0">
      <alignment horizontal="center" vertical="center" wrapText="1"/>
    </xf>
    <xf numFmtId="9" fontId="127" fillId="4" borderId="26" applyAlignment="1" pivotButton="0" quotePrefix="0" xfId="0">
      <alignment horizontal="center" vertical="center" wrapText="1"/>
    </xf>
    <xf numFmtId="0" fontId="55" fillId="4" borderId="26" applyAlignment="1" pivotButton="0" quotePrefix="0" xfId="0">
      <alignment horizontal="center" vertical="center" wrapText="1"/>
    </xf>
    <xf numFmtId="0" fontId="37" fillId="4" borderId="26" applyAlignment="1" pivotButton="0" quotePrefix="0" xfId="0">
      <alignment horizontal="left" vertical="center" wrapText="1"/>
    </xf>
    <xf numFmtId="3" fontId="7" fillId="4" borderId="26" applyAlignment="1" pivotButton="0" quotePrefix="0" xfId="0">
      <alignment horizontal="center" vertical="center" wrapText="1"/>
    </xf>
    <xf numFmtId="9" fontId="31" fillId="4" borderId="26" applyAlignment="1" pivotButton="0" quotePrefix="0" xfId="0">
      <alignment horizontal="center" vertical="center" wrapText="1"/>
    </xf>
    <xf numFmtId="3" fontId="7" fillId="5" borderId="26" applyAlignment="1" pivotButton="0" quotePrefix="0" xfId="0">
      <alignment horizontal="center" vertical="center" wrapText="1"/>
    </xf>
    <xf numFmtId="9" fontId="31" fillId="5" borderId="26" applyAlignment="1" pivotButton="0" quotePrefix="0" xfId="0">
      <alignment horizontal="center" vertical="center" wrapText="1"/>
    </xf>
    <xf numFmtId="3" fontId="124" fillId="4" borderId="26" applyAlignment="1" pivotButton="0" quotePrefix="0" xfId="0">
      <alignment horizontal="center" vertical="center" wrapText="1"/>
    </xf>
    <xf numFmtId="9" fontId="126" fillId="4" borderId="26" applyAlignment="1" pivotButton="0" quotePrefix="0" xfId="0">
      <alignment horizontal="center" vertical="center" wrapText="1"/>
    </xf>
    <xf numFmtId="3" fontId="124" fillId="5" borderId="26" applyAlignment="1" pivotButton="0" quotePrefix="0" xfId="0">
      <alignment horizontal="center" vertical="center" wrapText="1"/>
    </xf>
    <xf numFmtId="9" fontId="126" fillId="5" borderId="26" applyAlignment="1" pivotButton="0" quotePrefix="0" xfId="0">
      <alignment horizontal="center" vertical="center" wrapText="1"/>
    </xf>
    <xf numFmtId="0" fontId="26" fillId="2" borderId="26" applyAlignment="1" pivotButton="0" quotePrefix="0" xfId="0">
      <alignment horizontal="left" vertical="center" wrapText="1"/>
    </xf>
    <xf numFmtId="3" fontId="26" fillId="2" borderId="26" applyAlignment="1" pivotButton="0" quotePrefix="0" xfId="0">
      <alignment horizontal="center" vertical="center" wrapText="1"/>
    </xf>
    <xf numFmtId="9" fontId="26" fillId="2" borderId="26" applyAlignment="1" pivotButton="0" quotePrefix="0" xfId="0">
      <alignment horizontal="center" vertical="center" wrapText="1"/>
    </xf>
    <xf numFmtId="3" fontId="27" fillId="2" borderId="26" applyAlignment="1" pivotButton="0" quotePrefix="0" xfId="0">
      <alignment horizontal="center" vertical="center" wrapText="1"/>
    </xf>
    <xf numFmtId="9" fontId="27" fillId="2" borderId="26" applyAlignment="1" pivotButton="0" quotePrefix="0" xfId="0">
      <alignment horizontal="center" vertical="center" wrapText="1"/>
    </xf>
    <xf numFmtId="0" fontId="25" fillId="5" borderId="26" applyAlignment="1" pivotButton="0" quotePrefix="0" xfId="0">
      <alignment horizontal="center" vertical="center" wrapText="1"/>
    </xf>
    <xf numFmtId="0" fontId="56" fillId="5" borderId="26" applyAlignment="1" pivotButton="0" quotePrefix="0" xfId="0">
      <alignment horizontal="left" vertical="center" wrapText="1"/>
    </xf>
    <xf numFmtId="0" fontId="25" fillId="4" borderId="26" applyAlignment="1" pivotButton="0" quotePrefix="0" xfId="0">
      <alignment horizontal="center" vertical="center" wrapText="1"/>
    </xf>
    <xf numFmtId="0" fontId="56" fillId="4" borderId="26" applyAlignment="1" pivotButton="0" quotePrefix="0" xfId="0">
      <alignment horizontal="left" vertical="center" wrapText="1"/>
    </xf>
    <xf numFmtId="0" fontId="129" fillId="4" borderId="0" applyAlignment="1" pivotButton="0" quotePrefix="0" xfId="0">
      <alignment horizontal="left" vertical="center" wrapText="1"/>
    </xf>
    <xf numFmtId="0" fontId="117" fillId="2" borderId="0" applyAlignment="1" pivotButton="0" quotePrefix="0" xfId="0">
      <alignment horizontal="center" vertical="center"/>
    </xf>
    <xf numFmtId="0" fontId="130" fillId="2" borderId="0" applyAlignment="1" pivotButton="0" quotePrefix="0" xfId="0">
      <alignment horizontal="center" vertical="center"/>
    </xf>
    <xf numFmtId="0" fontId="38" fillId="6" borderId="0" applyAlignment="1" pivotButton="0" quotePrefix="0" xfId="0">
      <alignment horizontal="center" vertical="center"/>
    </xf>
    <xf numFmtId="0" fontId="26" fillId="2" borderId="26" applyAlignment="1" pivotButton="0" quotePrefix="0" xfId="0">
      <alignment horizontal="center" vertical="center"/>
    </xf>
    <xf numFmtId="0" fontId="131" fillId="5" borderId="26" applyAlignment="1" pivotButton="0" quotePrefix="0" xfId="0">
      <alignment horizontal="left" vertical="center"/>
    </xf>
    <xf numFmtId="0" fontId="132" fillId="5" borderId="26" applyAlignment="1" pivotButton="0" quotePrefix="0" xfId="0">
      <alignment horizontal="center" vertical="center"/>
    </xf>
    <xf numFmtId="0" fontId="131" fillId="5" borderId="26" applyAlignment="1" pivotButton="0" quotePrefix="0" xfId="0">
      <alignment horizontal="center" vertical="center"/>
    </xf>
    <xf numFmtId="0" fontId="133" fillId="5" borderId="26" applyAlignment="1" pivotButton="0" quotePrefix="0" xfId="0">
      <alignment horizontal="center" vertical="center"/>
    </xf>
    <xf numFmtId="0" fontId="131" fillId="4" borderId="26" applyAlignment="1" pivotButton="0" quotePrefix="0" xfId="0">
      <alignment horizontal="left" vertical="center"/>
    </xf>
    <xf numFmtId="0" fontId="132" fillId="4" borderId="26" applyAlignment="1" pivotButton="0" quotePrefix="0" xfId="0">
      <alignment horizontal="center" vertical="center"/>
    </xf>
    <xf numFmtId="0" fontId="131" fillId="4" borderId="26" applyAlignment="1" pivotButton="0" quotePrefix="0" xfId="0">
      <alignment horizontal="center" vertical="center"/>
    </xf>
    <xf numFmtId="0" fontId="133" fillId="4" borderId="26" applyAlignment="1" pivotButton="0" quotePrefix="0" xfId="0">
      <alignment horizontal="center" vertical="center"/>
    </xf>
    <xf numFmtId="0" fontId="134" fillId="4" borderId="26" applyAlignment="1" pivotButton="0" quotePrefix="0" xfId="0">
      <alignment horizontal="center" vertical="center"/>
    </xf>
    <xf numFmtId="0" fontId="27" fillId="2" borderId="0" applyAlignment="1" pivotButton="0" quotePrefix="0" xfId="0">
      <alignment horizontal="center" vertical="center"/>
    </xf>
    <xf numFmtId="0" fontId="119" fillId="5" borderId="26" applyAlignment="1" pivotButton="0" quotePrefix="0" xfId="0">
      <alignment horizontal="left" vertical="center"/>
    </xf>
    <xf numFmtId="0" fontId="119" fillId="5" borderId="26" applyAlignment="1" pivotButton="0" quotePrefix="0" xfId="0">
      <alignment horizontal="right" vertical="center"/>
    </xf>
    <xf numFmtId="0" fontId="131" fillId="5" borderId="0" applyAlignment="1" pivotButton="0" quotePrefix="0" xfId="0">
      <alignment horizontal="left" vertical="center"/>
    </xf>
    <xf numFmtId="0" fontId="119" fillId="4" borderId="26" applyAlignment="1" pivotButton="0" quotePrefix="0" xfId="0">
      <alignment horizontal="left" vertical="center"/>
    </xf>
    <xf numFmtId="0" fontId="119" fillId="4" borderId="26" applyAlignment="1" pivotButton="0" quotePrefix="0" xfId="0">
      <alignment horizontal="right" vertical="center"/>
    </xf>
    <xf numFmtId="0" fontId="131" fillId="4" borderId="0" applyAlignment="1" pivotButton="0" quotePrefix="0" xfId="0">
      <alignment horizontal="left" vertical="center"/>
    </xf>
    <xf numFmtId="0" fontId="24" fillId="2" borderId="26" applyAlignment="1" pivotButton="0" quotePrefix="0" xfId="0">
      <alignment horizontal="center" vertical="center"/>
    </xf>
    <xf numFmtId="0" fontId="25" fillId="5" borderId="26" applyAlignment="1" pivotButton="0" quotePrefix="0" xfId="0">
      <alignment horizontal="left" vertical="center"/>
    </xf>
    <xf numFmtId="0" fontId="25" fillId="5" borderId="26" applyAlignment="1" pivotButton="0" quotePrefix="0" xfId="0">
      <alignment horizontal="right" vertical="center"/>
    </xf>
    <xf numFmtId="0" fontId="29" fillId="5" borderId="26" applyAlignment="1" pivotButton="0" quotePrefix="0" xfId="0">
      <alignment horizontal="right" vertical="center"/>
    </xf>
    <xf numFmtId="0" fontId="25" fillId="4" borderId="26" applyAlignment="1" pivotButton="0" quotePrefix="0" xfId="0">
      <alignment horizontal="left" vertical="center"/>
    </xf>
    <xf numFmtId="0" fontId="25" fillId="4" borderId="26" applyAlignment="1" pivotButton="0" quotePrefix="0" xfId="0">
      <alignment horizontal="right" vertical="center"/>
    </xf>
    <xf numFmtId="0" fontId="30" fillId="4" borderId="26" applyAlignment="1" pivotButton="0" quotePrefix="0" xfId="0">
      <alignment horizontal="right" vertical="center"/>
    </xf>
    <xf numFmtId="0" fontId="29" fillId="4" borderId="26" applyAlignment="1" pivotButton="0" quotePrefix="0" xfId="0">
      <alignment horizontal="right" vertical="center"/>
    </xf>
    <xf numFmtId="0" fontId="30" fillId="5" borderId="26" applyAlignment="1" pivotButton="0" quotePrefix="0" xfId="0">
      <alignment horizontal="right" vertical="center"/>
    </xf>
    <xf numFmtId="0" fontId="12" fillId="2" borderId="0" applyAlignment="1" pivotButton="0" quotePrefix="0" xfId="0">
      <alignment horizontal="center" vertical="center"/>
    </xf>
    <xf numFmtId="0" fontId="27" fillId="7" borderId="0" applyAlignment="1" pivotButton="0" quotePrefix="0" xfId="0">
      <alignment horizontal="center" vertical="center"/>
    </xf>
    <xf numFmtId="0" fontId="135" fillId="5" borderId="26" applyAlignment="1" pivotButton="0" quotePrefix="0" xfId="0">
      <alignment horizontal="right" vertical="center"/>
    </xf>
    <xf numFmtId="0" fontId="42" fillId="2" borderId="0" applyAlignment="1" pivotButton="0" quotePrefix="0" xfId="0">
      <alignment horizontal="center" vertical="center"/>
    </xf>
    <xf numFmtId="0" fontId="24" fillId="7" borderId="26" applyAlignment="1" pivotButton="0" quotePrefix="0" xfId="0">
      <alignment horizontal="center" vertical="center"/>
    </xf>
    <xf numFmtId="0" fontId="25" fillId="5" borderId="26" applyAlignment="1" pivotButton="0" quotePrefix="0" xfId="0">
      <alignment horizontal="left" vertical="center" wrapText="1"/>
    </xf>
    <xf numFmtId="0" fontId="136" fillId="5" borderId="26" applyAlignment="1" pivotButton="0" quotePrefix="0" xfId="0">
      <alignment horizontal="center" vertical="center"/>
    </xf>
    <xf numFmtId="0" fontId="25" fillId="5" borderId="26" applyAlignment="1" pivotButton="0" quotePrefix="0" xfId="0">
      <alignment horizontal="center" vertical="center"/>
    </xf>
    <xf numFmtId="0" fontId="137" fillId="5" borderId="26" applyAlignment="1" pivotButton="0" quotePrefix="0" xfId="0">
      <alignment horizontal="left" vertical="center" wrapText="1"/>
    </xf>
    <xf numFmtId="0" fontId="7" fillId="5" borderId="26" applyAlignment="1" pivotButton="0" quotePrefix="0" xfId="0">
      <alignment horizontal="center" vertical="center"/>
    </xf>
    <xf numFmtId="0" fontId="121" fillId="5" borderId="26" applyAlignment="1" pivotButton="0" quotePrefix="0" xfId="0">
      <alignment horizontal="left" vertical="center"/>
    </xf>
    <xf numFmtId="0" fontId="138" fillId="5" borderId="26" applyAlignment="1" pivotButton="0" quotePrefix="0" xfId="0">
      <alignment horizontal="right" vertical="center"/>
    </xf>
    <xf numFmtId="0" fontId="121" fillId="5" borderId="26" applyAlignment="1" pivotButton="0" quotePrefix="0" xfId="0">
      <alignment horizontal="right" vertical="center"/>
    </xf>
    <xf numFmtId="0" fontId="119" fillId="5" borderId="26" applyAlignment="1" pivotButton="0" quotePrefix="0" xfId="0">
      <alignment horizontal="center" vertical="center"/>
    </xf>
    <xf numFmtId="0" fontId="139" fillId="5" borderId="26" applyAlignment="1" pivotButton="0" quotePrefix="0" xfId="0">
      <alignment horizontal="right" vertical="center"/>
    </xf>
    <xf numFmtId="0" fontId="27" fillId="21" borderId="0" applyAlignment="1" pivotButton="0" quotePrefix="0" xfId="0">
      <alignment horizontal="center" vertical="center"/>
    </xf>
    <xf numFmtId="0" fontId="119" fillId="5" borderId="26" applyAlignment="1" pivotButton="0" quotePrefix="0" xfId="0">
      <alignment horizontal="left" vertical="center" wrapText="1"/>
    </xf>
    <xf numFmtId="0" fontId="130" fillId="3" borderId="0" applyAlignment="1" pivotButton="0" quotePrefix="0" xfId="0">
      <alignment horizontal="center" vertical="center"/>
    </xf>
    <xf numFmtId="0" fontId="31" fillId="5" borderId="26" applyAlignment="1" pivotButton="0" quotePrefix="0" xfId="0">
      <alignment horizontal="center" vertical="center"/>
    </xf>
    <xf numFmtId="0" fontId="25" fillId="4" borderId="26" applyAlignment="1" pivotButton="0" quotePrefix="0" xfId="0">
      <alignment horizontal="center" vertical="center"/>
    </xf>
    <xf numFmtId="0" fontId="31" fillId="4" borderId="26" applyAlignment="1" pivotButton="0" quotePrefix="0" xfId="0">
      <alignment horizontal="center" vertical="center"/>
    </xf>
    <xf numFmtId="0" fontId="140" fillId="5" borderId="26" applyAlignment="1" pivotButton="0" quotePrefix="0" xfId="0">
      <alignment horizontal="right" vertical="center"/>
    </xf>
    <xf numFmtId="0" fontId="140" fillId="4" borderId="26" applyAlignment="1" pivotButton="0" quotePrefix="0" xfId="0">
      <alignment horizontal="right" vertical="center"/>
    </xf>
    <xf numFmtId="0" fontId="136" fillId="4" borderId="26" applyAlignment="1" pivotButton="0" quotePrefix="0" xfId="0">
      <alignment horizontal="right" vertical="center"/>
    </xf>
    <xf numFmtId="0" fontId="141" fillId="5" borderId="26" applyAlignment="1" pivotButton="0" quotePrefix="0" xfId="0">
      <alignment horizontal="center" vertical="center"/>
    </xf>
    <xf numFmtId="0" fontId="7" fillId="4" borderId="26" applyAlignment="1" pivotButton="0" quotePrefix="0" xfId="0">
      <alignment horizontal="center" vertical="center"/>
    </xf>
    <xf numFmtId="0" fontId="141" fillId="4" borderId="26" applyAlignment="1" pivotButton="0" quotePrefix="0" xfId="0">
      <alignment horizontal="center" vertical="center"/>
    </xf>
    <xf numFmtId="0" fontId="142" fillId="4" borderId="26" applyAlignment="1" pivotButton="0" quotePrefix="0" xfId="0">
      <alignment horizontal="center" vertical="center"/>
    </xf>
    <xf numFmtId="0" fontId="142" fillId="5" borderId="26" applyAlignment="1" pivotButton="0" quotePrefix="0" xfId="0">
      <alignment horizontal="center" vertical="center"/>
    </xf>
    <xf numFmtId="0" fontId="143" fillId="5" borderId="26" applyAlignment="1" pivotButton="0" quotePrefix="0" xfId="0">
      <alignment horizontal="left" vertical="center"/>
    </xf>
    <xf numFmtId="0" fontId="137" fillId="5" borderId="26" applyAlignment="1" pivotButton="0" quotePrefix="0" xfId="0">
      <alignment horizontal="left" vertical="center"/>
    </xf>
    <xf numFmtId="0" fontId="144" fillId="5" borderId="26" applyAlignment="1" pivotButton="0" quotePrefix="0" xfId="0">
      <alignment horizontal="left" vertical="center"/>
    </xf>
    <xf numFmtId="0" fontId="27" fillId="6" borderId="0" applyAlignment="1" pivotButton="0" quotePrefix="0" xfId="0">
      <alignment horizontal="center" vertical="center"/>
    </xf>
    <xf numFmtId="0" fontId="22" fillId="5" borderId="26" applyAlignment="1" pivotButton="0" quotePrefix="0" xfId="0">
      <alignment horizontal="right" vertical="center"/>
    </xf>
    <xf numFmtId="0" fontId="13" fillId="5" borderId="26" applyAlignment="1" pivotButton="0" quotePrefix="0" xfId="0">
      <alignment horizontal="center" vertical="center"/>
    </xf>
    <xf numFmtId="0" fontId="34" fillId="5" borderId="26" applyAlignment="1" pivotButton="0" quotePrefix="0" xfId="0">
      <alignment horizontal="right" vertical="center"/>
    </xf>
    <xf numFmtId="0" fontId="30" fillId="5" borderId="26" applyAlignment="1" pivotButton="0" quotePrefix="0" xfId="0">
      <alignment horizontal="center" vertical="center"/>
    </xf>
    <xf numFmtId="0" fontId="22" fillId="5" borderId="26" applyAlignment="1" pivotButton="0" quotePrefix="0" xfId="0">
      <alignment horizontal="center" vertical="center"/>
    </xf>
    <xf numFmtId="0" fontId="41" fillId="5" borderId="26" applyAlignment="1" pivotButton="0" quotePrefix="0" xfId="0">
      <alignment horizontal="center" vertical="center"/>
    </xf>
    <xf numFmtId="0" fontId="26" fillId="6" borderId="0" applyAlignment="1" pivotButton="0" quotePrefix="0" xfId="0">
      <alignment horizontal="center" vertical="center"/>
    </xf>
    <xf numFmtId="0" fontId="131" fillId="5" borderId="27" applyAlignment="1" pivotButton="0" quotePrefix="0" xfId="0">
      <alignment horizontal="left" vertical="center"/>
    </xf>
    <xf numFmtId="0" fontId="16" fillId="5" borderId="27" applyAlignment="1" pivotButton="0" quotePrefix="0" xfId="0">
      <alignment horizontal="center" vertical="center"/>
    </xf>
    <xf numFmtId="0" fontId="143" fillId="5" borderId="27" applyAlignment="1" pivotButton="0" quotePrefix="0" xfId="0">
      <alignment horizontal="center" vertical="center"/>
    </xf>
    <xf numFmtId="0" fontId="13" fillId="5" borderId="27" applyAlignment="1" pivotButton="0" quotePrefix="0" xfId="0">
      <alignment horizontal="left" vertical="center"/>
    </xf>
    <xf numFmtId="0" fontId="145" fillId="5" borderId="27" applyAlignment="1" pivotButton="0" quotePrefix="0" xfId="0">
      <alignment horizontal="center" vertical="center"/>
    </xf>
    <xf numFmtId="0" fontId="30" fillId="5" borderId="27" applyAlignment="1" pivotButton="0" quotePrefix="0" xfId="0">
      <alignment horizontal="left" vertical="center"/>
    </xf>
    <xf numFmtId="0" fontId="119" fillId="5" borderId="27" applyAlignment="1" pivotButton="0" quotePrefix="0" xfId="0">
      <alignment horizontal="left" vertical="center"/>
    </xf>
    <xf numFmtId="0" fontId="119" fillId="5" borderId="27" applyAlignment="1" pivotButton="0" quotePrefix="0" xfId="0">
      <alignment horizontal="right" vertical="center"/>
    </xf>
    <xf numFmtId="0" fontId="146" fillId="5" borderId="27" applyAlignment="1" pivotButton="0" quotePrefix="0" xfId="0">
      <alignment horizontal="right" vertical="center"/>
    </xf>
    <xf numFmtId="0" fontId="121" fillId="5" borderId="27" applyAlignment="1" pivotButton="0" quotePrefix="0" xfId="0">
      <alignment horizontal="left" vertical="center"/>
    </xf>
    <xf numFmtId="0" fontId="147" fillId="5" borderId="27" applyAlignment="1" pivotButton="0" quotePrefix="0" xfId="0">
      <alignment horizontal="right" vertical="center"/>
    </xf>
    <xf numFmtId="0" fontId="132" fillId="5" borderId="27" applyAlignment="1" pivotButton="0" quotePrefix="0" xfId="0">
      <alignment horizontal="right" vertical="center"/>
    </xf>
    <xf numFmtId="0" fontId="24" fillId="2" borderId="27" applyAlignment="1" pivotButton="0" quotePrefix="0" xfId="0">
      <alignment horizontal="center" vertical="center"/>
    </xf>
    <xf numFmtId="0" fontId="25" fillId="5" borderId="27" applyAlignment="1" pivotButton="0" quotePrefix="0" xfId="0">
      <alignment horizontal="left" vertical="center"/>
    </xf>
    <xf numFmtId="0" fontId="25" fillId="5" borderId="27" applyAlignment="1" pivotButton="0" quotePrefix="0" xfId="0">
      <alignment horizontal="center" vertical="center"/>
    </xf>
    <xf numFmtId="0" fontId="34" fillId="5" borderId="27" applyAlignment="1" pivotButton="0" quotePrefix="0" xfId="0">
      <alignment horizontal="center" vertical="center"/>
    </xf>
    <xf numFmtId="0" fontId="44" fillId="5" borderId="27" applyAlignment="1" pivotButton="0" quotePrefix="0" xfId="0">
      <alignment horizontal="center" vertical="center"/>
    </xf>
    <xf numFmtId="0" fontId="7" fillId="5" borderId="27" applyAlignment="1" pivotButton="0" quotePrefix="0" xfId="0">
      <alignment horizontal="center" vertical="center"/>
    </xf>
    <xf numFmtId="0" fontId="142" fillId="5" borderId="27" applyAlignment="1" pivotButton="0" quotePrefix="0" xfId="0">
      <alignment horizontal="center" vertical="center"/>
    </xf>
    <xf numFmtId="0" fontId="34" fillId="5" borderId="0" applyAlignment="1" pivotButton="0" quotePrefix="0" xfId="0">
      <alignment horizontal="center" vertical="center"/>
    </xf>
    <xf numFmtId="0" fontId="28" fillId="5" borderId="26" applyAlignment="1" pivotButton="0" quotePrefix="0" xfId="0">
      <alignment horizontal="right" vertical="center"/>
    </xf>
    <xf numFmtId="0" fontId="24" fillId="2" borderId="26" applyAlignment="1" pivotButton="0" quotePrefix="0" xfId="0">
      <alignment horizontal="left" vertical="center"/>
    </xf>
    <xf numFmtId="0" fontId="34" fillId="2" borderId="26" applyAlignment="1" pivotButton="0" quotePrefix="0" xfId="0">
      <alignment horizontal="center" vertical="center"/>
    </xf>
    <xf numFmtId="0" fontId="28" fillId="5" borderId="26" applyAlignment="1" pivotButton="0" quotePrefix="0" xfId="0">
      <alignment horizontal="center" vertical="center"/>
    </xf>
    <xf numFmtId="0" fontId="135" fillId="5" borderId="0" applyAlignment="1" pivotButton="0" quotePrefix="0" xfId="0">
      <alignment horizontal="center" vertical="center"/>
    </xf>
    <xf numFmtId="0" fontId="28" fillId="5" borderId="26" applyAlignment="1" pivotButton="0" quotePrefix="0" xfId="0">
      <alignment horizontal="left" vertical="center"/>
    </xf>
    <xf numFmtId="0" fontId="148" fillId="5" borderId="26" applyAlignment="1" pivotButton="0" quotePrefix="0" xfId="0">
      <alignment horizontal="center" vertical="center"/>
    </xf>
    <xf numFmtId="0" fontId="149" fillId="5" borderId="26" applyAlignment="1" pivotButton="0" quotePrefix="0" xfId="0">
      <alignment horizontal="left" vertical="center"/>
    </xf>
    <xf numFmtId="0" fontId="150" fillId="5" borderId="26" applyAlignment="1" pivotButton="0" quotePrefix="0" xfId="0">
      <alignment horizontal="center" vertical="center"/>
    </xf>
    <xf numFmtId="0" fontId="149" fillId="5" borderId="26" applyAlignment="1" pivotButton="0" quotePrefix="0" xfId="0">
      <alignment horizontal="center" vertical="center"/>
    </xf>
    <xf numFmtId="0" fontId="151" fillId="2" borderId="0" applyAlignment="1" pivotButton="0" quotePrefix="0" xfId="0">
      <alignment horizontal="left" vertical="center"/>
    </xf>
    <xf numFmtId="0" fontId="43" fillId="2" borderId="0" applyAlignment="1" pivotButton="0" quotePrefix="0" xfId="0">
      <alignment horizontal="left" vertical="center"/>
    </xf>
    <xf numFmtId="0" fontId="10" fillId="2" borderId="0" applyAlignment="1" pivotButton="0" quotePrefix="0" xfId="0">
      <alignment horizontal="right" vertical="center"/>
    </xf>
    <xf numFmtId="0" fontId="11" fillId="4" borderId="28" applyAlignment="1" pivotButton="0" quotePrefix="0" xfId="0">
      <alignment horizontal="center" vertical="bottom"/>
    </xf>
    <xf numFmtId="0" fontId="0" fillId="0" borderId="29" pivotButton="0" quotePrefix="0" xfId="0"/>
    <xf numFmtId="0" fontId="11" fillId="4" borderId="30" applyAlignment="1" pivotButton="0" quotePrefix="0" xfId="0">
      <alignment horizontal="center" vertical="bottom"/>
    </xf>
    <xf numFmtId="0" fontId="0" fillId="0" borderId="32" pivotButton="0" quotePrefix="0" xfId="0"/>
    <xf numFmtId="0" fontId="11" fillId="4" borderId="33" applyAlignment="1" pivotButton="0" quotePrefix="0" xfId="0">
      <alignment horizontal="center" vertical="bottom"/>
    </xf>
    <xf numFmtId="0" fontId="152" fillId="4" borderId="0" applyAlignment="1" pivotButton="0" quotePrefix="0" xfId="0">
      <alignment horizontal="center" vertical="center"/>
    </xf>
    <xf numFmtId="0" fontId="153" fillId="4" borderId="0" applyAlignment="1" pivotButton="0" quotePrefix="0" xfId="0">
      <alignment horizontal="center" vertical="center"/>
    </xf>
    <xf numFmtId="0" fontId="154" fillId="4" borderId="0" applyAlignment="1" pivotButton="0" quotePrefix="0" xfId="0">
      <alignment horizontal="center" vertical="center"/>
    </xf>
    <xf numFmtId="0" fontId="20" fillId="2" borderId="0" applyAlignment="1" pivotButton="0" quotePrefix="0" xfId="0">
      <alignment horizontal="left" vertical="center"/>
    </xf>
    <xf numFmtId="0" fontId="155" fillId="5" borderId="2" applyAlignment="1" pivotButton="0" quotePrefix="0" xfId="0">
      <alignment horizontal="left" vertical="center"/>
    </xf>
    <xf numFmtId="0" fontId="34" fillId="5" borderId="2" applyAlignment="1" pivotButton="0" quotePrefix="0" xfId="0">
      <alignment horizontal="right" vertical="center"/>
    </xf>
    <xf numFmtId="0" fontId="13" fillId="5" borderId="2" applyAlignment="1" pivotButton="0" quotePrefix="0" xfId="0">
      <alignment horizontal="center" vertical="center"/>
    </xf>
    <xf numFmtId="0" fontId="0" fillId="0" borderId="34" pivotButton="0" quotePrefix="0" xfId="0"/>
    <xf numFmtId="0" fontId="156" fillId="4" borderId="2" applyAlignment="1" pivotButton="0" quotePrefix="0" xfId="0">
      <alignment horizontal="left" vertical="center"/>
    </xf>
    <xf numFmtId="0" fontId="13" fillId="4" borderId="2" applyAlignment="1" pivotButton="0" quotePrefix="0" xfId="0">
      <alignment horizontal="center" vertical="center"/>
    </xf>
    <xf numFmtId="0" fontId="157" fillId="5" borderId="2" applyAlignment="1" pivotButton="0" quotePrefix="0" xfId="0">
      <alignment horizontal="left" vertical="center"/>
    </xf>
    <xf numFmtId="0" fontId="158" fillId="4" borderId="2" applyAlignment="1" pivotButton="0" quotePrefix="0" xfId="0">
      <alignment horizontal="left" vertical="center"/>
    </xf>
    <xf numFmtId="0" fontId="159" fillId="4" borderId="2" applyAlignment="1" pivotButton="0" quotePrefix="0" xfId="0">
      <alignment horizontal="right" vertical="center"/>
    </xf>
    <xf numFmtId="0" fontId="160" fillId="5" borderId="2" applyAlignment="1" pivotButton="0" quotePrefix="0" xfId="0">
      <alignment horizontal="left" vertical="center"/>
    </xf>
    <xf numFmtId="0" fontId="41" fillId="5" borderId="2" applyAlignment="1" pivotButton="0" quotePrefix="0" xfId="0">
      <alignment horizontal="right" vertical="center"/>
    </xf>
    <xf numFmtId="0" fontId="160" fillId="4" borderId="2" applyAlignment="1" pivotButton="0" quotePrefix="0" xfId="0">
      <alignment horizontal="left" vertical="center"/>
    </xf>
    <xf numFmtId="0" fontId="41" fillId="4" borderId="2" applyAlignment="1" pivotButton="0" quotePrefix="0" xfId="0">
      <alignment horizontal="right" vertical="center"/>
    </xf>
    <xf numFmtId="0" fontId="19" fillId="5" borderId="2" applyAlignment="1" pivotButton="0" quotePrefix="0" xfId="0">
      <alignment horizontal="left" vertical="center"/>
    </xf>
    <xf numFmtId="0" fontId="55" fillId="5" borderId="2" applyAlignment="1" pivotButton="0" quotePrefix="0" xfId="0">
      <alignment horizontal="right" vertical="center"/>
    </xf>
    <xf numFmtId="0" fontId="19" fillId="4" borderId="2" applyAlignment="1" pivotButton="0" quotePrefix="0" xfId="0">
      <alignment horizontal="left" vertical="center"/>
    </xf>
    <xf numFmtId="0" fontId="55" fillId="4" borderId="2" applyAlignment="1" pivotButton="0" quotePrefix="0" xfId="0">
      <alignment horizontal="right" vertical="center"/>
    </xf>
    <xf numFmtId="0" fontId="156" fillId="5" borderId="2" applyAlignment="1" pivotButton="0" quotePrefix="0" xfId="0">
      <alignment horizontal="left" vertical="center"/>
    </xf>
    <xf numFmtId="0" fontId="9" fillId="5" borderId="35" applyAlignment="1" pivotButton="0" quotePrefix="0" xfId="0">
      <alignment horizontal="left" vertical="center"/>
    </xf>
    <xf numFmtId="0" fontId="9" fillId="5" borderId="35" applyAlignment="1" pivotButton="0" quotePrefix="0" xfId="0">
      <alignment horizontal="center" vertical="center"/>
    </xf>
    <xf numFmtId="0" fontId="19" fillId="4" borderId="2" applyAlignment="1" pivotButton="0" quotePrefix="0" xfId="0">
      <alignment horizontal="center" vertical="center"/>
    </xf>
    <xf numFmtId="0" fontId="19" fillId="5" borderId="2" applyAlignment="1" pivotButton="0" quotePrefix="0" xfId="0">
      <alignment horizontal="center" vertical="center"/>
    </xf>
    <xf numFmtId="0" fontId="155" fillId="4" borderId="2" applyAlignment="1" pivotButton="0" quotePrefix="0" xfId="0">
      <alignment horizontal="left" vertical="center"/>
    </xf>
    <xf numFmtId="0" fontId="34" fillId="4" borderId="2" applyAlignment="1" pivotButton="0" quotePrefix="0" xfId="0">
      <alignment horizontal="right" vertical="center"/>
    </xf>
    <xf numFmtId="0" fontId="157" fillId="4" borderId="2" applyAlignment="1" pivotButton="0" quotePrefix="0" xfId="0">
      <alignment horizontal="left" vertical="center"/>
    </xf>
    <xf numFmtId="0" fontId="22" fillId="4" borderId="2" applyAlignment="1" pivotButton="0" quotePrefix="0" xfId="0">
      <alignment horizontal="center" vertical="center"/>
    </xf>
    <xf numFmtId="0" fontId="161" fillId="4" borderId="2" applyAlignment="1" pivotButton="0" quotePrefix="0" xfId="0">
      <alignment horizontal="left" vertical="center"/>
    </xf>
    <xf numFmtId="0" fontId="43" fillId="4" borderId="2" applyAlignment="1" pivotButton="0" quotePrefix="0" xfId="0">
      <alignment horizontal="left" vertical="center"/>
    </xf>
    <xf numFmtId="0" fontId="41" fillId="5" borderId="2" applyAlignment="1" pivotButton="0" quotePrefix="0" xfId="0">
      <alignment horizontal="center" vertical="center"/>
    </xf>
    <xf numFmtId="0" fontId="162" fillId="5" borderId="2" applyAlignment="1" pivotButton="0" quotePrefix="0" xfId="0">
      <alignment horizontal="left" vertical="center"/>
    </xf>
    <xf numFmtId="0" fontId="163" fillId="5" borderId="2" applyAlignment="1" pivotButton="0" quotePrefix="0" xfId="0">
      <alignment horizontal="left" vertical="center"/>
    </xf>
    <xf numFmtId="0" fontId="22" fillId="5" borderId="2" applyAlignment="1" pivotButton="0" quotePrefix="0" xfId="0">
      <alignment horizontal="center" vertical="center"/>
    </xf>
    <xf numFmtId="0" fontId="161" fillId="5" borderId="2" applyAlignment="1" pivotButton="0" quotePrefix="0" xfId="0">
      <alignment horizontal="left" vertical="center"/>
    </xf>
    <xf numFmtId="0" fontId="43" fillId="5" borderId="2" applyAlignment="1" pivotButton="0" quotePrefix="0" xfId="0">
      <alignment horizontal="left" vertical="center"/>
    </xf>
    <xf numFmtId="0" fontId="34" fillId="4" borderId="2" applyAlignment="1" pivotButton="0" quotePrefix="0" xfId="0">
      <alignment horizontal="center" vertical="center"/>
    </xf>
    <xf numFmtId="0" fontId="34" fillId="5" borderId="2" applyAlignment="1" pivotButton="0" quotePrefix="0" xfId="0">
      <alignment horizontal="center" vertical="center"/>
    </xf>
    <xf numFmtId="0" fontId="45" fillId="5" borderId="2" applyAlignment="1" pivotButton="0" quotePrefix="0" xfId="0">
      <alignment horizontal="center" vertical="center"/>
    </xf>
    <xf numFmtId="0" fontId="155" fillId="5" borderId="0" applyAlignment="1" pivotButton="0" quotePrefix="0" xfId="0">
      <alignment horizontal="left" vertical="center"/>
    </xf>
    <xf numFmtId="0" fontId="0" fillId="0" borderId="36" pivotButton="0" quotePrefix="0" xfId="0"/>
    <xf numFmtId="0" fontId="164" fillId="4" borderId="2" applyAlignment="1" pivotButton="0" quotePrefix="0" xfId="0">
      <alignment horizontal="center" vertical="center"/>
    </xf>
    <xf numFmtId="0" fontId="165" fillId="5" borderId="2" applyAlignment="1" pivotButton="0" quotePrefix="0" xfId="0">
      <alignment horizontal="center" vertical="center"/>
    </xf>
    <xf numFmtId="0" fontId="166" fillId="4" borderId="2" applyAlignment="1" pivotButton="0" quotePrefix="0" xfId="0">
      <alignment horizontal="center" vertical="center"/>
    </xf>
    <xf numFmtId="0" fontId="166" fillId="5" borderId="2" applyAlignment="1" pivotButton="0" quotePrefix="0" xfId="0">
      <alignment horizontal="center" vertical="center"/>
    </xf>
    <xf numFmtId="0" fontId="164" fillId="5" borderId="2" applyAlignment="1" pivotButton="0" quotePrefix="0" xfId="0">
      <alignment horizontal="center" vertical="center"/>
    </xf>
    <xf numFmtId="0" fontId="2" fillId="4" borderId="2" applyAlignment="1" pivotButton="0" quotePrefix="0" xfId="0">
      <alignment horizontal="center" vertical="center"/>
    </xf>
    <xf numFmtId="0" fontId="2" fillId="5" borderId="2" applyAlignment="1" pivotButton="0" quotePrefix="0" xfId="0">
      <alignment horizontal="center" vertical="center"/>
    </xf>
    <xf numFmtId="0" fontId="24" fillId="3" borderId="2" applyAlignment="1" pivotButton="0" quotePrefix="0" xfId="0">
      <alignment horizontal="left" vertical="center"/>
    </xf>
    <xf numFmtId="0" fontId="24" fillId="3" borderId="2" applyAlignment="1" pivotButton="0" quotePrefix="0" xfId="0">
      <alignment horizontal="center" vertical="center"/>
    </xf>
    <xf numFmtId="0" fontId="21" fillId="4" borderId="2" applyAlignment="1" pivotButton="0" quotePrefix="0" xfId="0">
      <alignment horizontal="center" vertical="center"/>
    </xf>
    <xf numFmtId="0" fontId="167" fillId="4" borderId="2" applyAlignment="1" pivotButton="0" quotePrefix="0" xfId="0">
      <alignment horizontal="center" vertical="center"/>
    </xf>
    <xf numFmtId="0" fontId="168" fillId="4" borderId="2" applyAlignment="1" pivotButton="0" quotePrefix="0" xfId="0">
      <alignment horizontal="left" vertical="center"/>
    </xf>
    <xf numFmtId="0" fontId="156" fillId="4" borderId="2" applyAlignment="1" pivotButton="0" quotePrefix="0" xfId="0">
      <alignment horizontal="center" vertical="center"/>
    </xf>
    <xf numFmtId="0" fontId="21" fillId="5" borderId="2" applyAlignment="1" pivotButton="0" quotePrefix="0" xfId="0">
      <alignment horizontal="center" vertical="center"/>
    </xf>
    <xf numFmtId="0" fontId="167" fillId="5" borderId="2" applyAlignment="1" pivotButton="0" quotePrefix="0" xfId="0">
      <alignment horizontal="center" vertical="center"/>
    </xf>
    <xf numFmtId="0" fontId="169" fillId="5" borderId="2" applyAlignment="1" pivotButton="0" quotePrefix="0" xfId="0">
      <alignment horizontal="left" vertical="center"/>
    </xf>
    <xf numFmtId="0" fontId="160" fillId="5" borderId="2" applyAlignment="1" pivotButton="0" quotePrefix="0" xfId="0">
      <alignment horizontal="center" vertical="center"/>
    </xf>
    <xf numFmtId="0" fontId="168" fillId="5" borderId="2" applyAlignment="1" pivotButton="0" quotePrefix="0" xfId="0">
      <alignment horizontal="left" vertical="center"/>
    </xf>
    <xf numFmtId="0" fontId="156" fillId="5" borderId="2" applyAlignment="1" pivotButton="0" quotePrefix="0" xfId="0">
      <alignment horizontal="center" vertical="center"/>
    </xf>
    <xf numFmtId="0" fontId="43" fillId="2" borderId="0" applyAlignment="1" pivotButton="0" quotePrefix="0" xfId="0">
      <alignment horizontal="left" vertical="center"/>
    </xf>
    <xf numFmtId="0" fontId="10" fillId="2" borderId="0" applyAlignment="1" pivotButton="0" quotePrefix="0" xfId="0">
      <alignment horizontal="right" vertical="center"/>
    </xf>
    <xf numFmtId="0" fontId="11" fillId="4" borderId="37" applyAlignment="1" pivotButton="0" quotePrefix="0" xfId="0">
      <alignment horizontal="center" vertical="center"/>
    </xf>
    <xf numFmtId="0" fontId="11" fillId="4" borderId="28" applyAlignment="1" pivotButton="0" quotePrefix="0" xfId="0">
      <alignment horizontal="center" vertical="center"/>
    </xf>
    <xf numFmtId="0" fontId="136" fillId="4" borderId="38" applyAlignment="1" pivotButton="0" quotePrefix="0" xfId="0">
      <alignment horizontal="center" vertical="center"/>
    </xf>
    <xf numFmtId="0" fontId="7" fillId="4" borderId="38" applyAlignment="1" pivotButton="0" quotePrefix="0" xfId="0">
      <alignment horizontal="center" vertical="center"/>
    </xf>
    <xf numFmtId="0" fontId="170" fillId="4" borderId="2" applyAlignment="1" pivotButton="0" quotePrefix="0" xfId="0">
      <alignment horizontal="center" vertical="center"/>
    </xf>
    <xf numFmtId="0" fontId="160" fillId="4" borderId="2" applyAlignment="1" pivotButton="0" quotePrefix="0" xfId="0">
      <alignment horizontal="center" vertical="center"/>
    </xf>
    <xf numFmtId="0" fontId="170" fillId="5" borderId="2" applyAlignment="1" pivotButton="0" quotePrefix="0" xfId="0">
      <alignment horizontal="center" vertical="center"/>
    </xf>
    <xf numFmtId="0" fontId="11" fillId="4" borderId="30" applyAlignment="1" pivotButton="0" quotePrefix="0" xfId="0">
      <alignment horizontal="center" vertical="center"/>
    </xf>
    <xf numFmtId="0" fontId="31" fillId="4" borderId="38" applyAlignment="1" pivotButton="0" quotePrefix="0" xfId="0">
      <alignment horizontal="center" vertical="center"/>
    </xf>
    <xf numFmtId="0" fontId="128" fillId="4" borderId="38" applyAlignment="1" pivotButton="0" quotePrefix="0" xfId="0">
      <alignment horizontal="center" vertical="center"/>
    </xf>
    <xf numFmtId="0" fontId="10" fillId="5" borderId="2" applyAlignment="1" pivotButton="0" quotePrefix="0" xfId="0">
      <alignment horizontal="center" vertical="center"/>
    </xf>
    <xf numFmtId="0" fontId="10" fillId="4" borderId="2" applyAlignment="1" pivotButton="0" quotePrefix="0" xfId="0">
      <alignment horizontal="center" vertical="center"/>
    </xf>
    <xf numFmtId="0" fontId="171" fillId="5" borderId="2" applyAlignment="1" pivotButton="0" quotePrefix="0" xfId="0">
      <alignment horizontal="center" vertical="center"/>
    </xf>
    <xf numFmtId="0" fontId="171" fillId="4" borderId="2" applyAlignment="1" pivotButton="0" quotePrefix="0" xfId="0">
      <alignment horizontal="center" vertical="center"/>
    </xf>
    <xf numFmtId="0" fontId="19" fillId="5" borderId="2" applyAlignment="1" pivotButton="0" quotePrefix="0" xfId="0">
      <alignment horizontal="left" vertical="center" wrapText="1"/>
    </xf>
    <xf numFmtId="0" fontId="19" fillId="4" borderId="2" applyAlignment="1" pivotButton="0" quotePrefix="0" xfId="0">
      <alignment horizontal="left" vertical="center" wrapText="1"/>
    </xf>
    <xf numFmtId="0" fontId="171" fillId="5" borderId="2" applyAlignment="1" pivotButton="0" quotePrefix="0" xfId="0">
      <alignment horizontal="left" vertical="center" wrapText="1"/>
    </xf>
    <xf numFmtId="0" fontId="172" fillId="4" borderId="2" applyAlignment="1" pivotButton="0" quotePrefix="0" xfId="0">
      <alignment horizontal="left" vertical="center" wrapText="1"/>
    </xf>
    <xf numFmtId="0" fontId="157" fillId="5" borderId="2" applyAlignment="1" pivotButton="0" quotePrefix="0" xfId="0">
      <alignment horizontal="left" vertical="center" wrapText="1"/>
    </xf>
    <xf numFmtId="0" fontId="157" fillId="5" borderId="2" applyAlignment="1" pivotButton="0" quotePrefix="0" xfId="0">
      <alignment horizontal="center" vertical="center"/>
    </xf>
    <xf numFmtId="0" fontId="173" fillId="5" borderId="2" applyAlignment="1" pivotButton="0" quotePrefix="0" xfId="0">
      <alignment horizontal="center" vertical="center"/>
    </xf>
    <xf numFmtId="0" fontId="155" fillId="5" borderId="2" applyAlignment="1" pivotButton="0" quotePrefix="0" xfId="0">
      <alignment horizontal="center" vertical="center"/>
    </xf>
    <xf numFmtId="0" fontId="9" fillId="5" borderId="2" applyAlignment="1" pivotButton="0" quotePrefix="0" xfId="0">
      <alignment horizontal="left" vertical="center"/>
    </xf>
    <xf numFmtId="0" fontId="174" fillId="5" borderId="2" applyAlignment="1" pivotButton="0" quotePrefix="0" xfId="0">
      <alignment horizontal="left" vertical="center" wrapText="1"/>
    </xf>
    <xf numFmtId="0" fontId="174" fillId="5" borderId="2" applyAlignment="1" pivotButton="0" quotePrefix="0" xfId="0">
      <alignment horizontal="center" vertical="center"/>
    </xf>
    <xf numFmtId="0" fontId="163" fillId="5" borderId="2" applyAlignment="1" pivotButton="0" quotePrefix="0" xfId="0">
      <alignment horizontal="center" vertical="center"/>
    </xf>
    <xf numFmtId="0" fontId="9" fillId="4" borderId="2" applyAlignment="1" pivotButton="0" quotePrefix="0" xfId="0">
      <alignment horizontal="left" vertical="center"/>
    </xf>
    <xf numFmtId="0" fontId="174" fillId="4" borderId="2" applyAlignment="1" pivotButton="0" quotePrefix="0" xfId="0">
      <alignment horizontal="left" vertical="center" wrapText="1"/>
    </xf>
    <xf numFmtId="0" fontId="174" fillId="4" borderId="2" applyAlignment="1" pivotButton="0" quotePrefix="0" xfId="0">
      <alignment horizontal="center" vertical="center"/>
    </xf>
    <xf numFmtId="0" fontId="163" fillId="4" borderId="2" applyAlignment="1" pivotButton="0" quotePrefix="0" xfId="0">
      <alignment horizontal="center" vertical="center"/>
    </xf>
    <xf numFmtId="0" fontId="8" fillId="5" borderId="2" applyAlignment="1" pivotButton="0" quotePrefix="0" xfId="0">
      <alignment horizontal="center" vertical="center"/>
    </xf>
    <xf numFmtId="0" fontId="8" fillId="4" borderId="2" applyAlignment="1" pivotButton="0" quotePrefix="0" xfId="0">
      <alignment horizontal="center" vertical="center"/>
    </xf>
    <xf numFmtId="0" fontId="38" fillId="2" borderId="0" applyAlignment="1" pivotButton="0" quotePrefix="0" xfId="0">
      <alignment horizontal="left" vertical="center"/>
    </xf>
    <xf numFmtId="0" fontId="36" fillId="11" borderId="0" applyAlignment="1" pivotButton="0" quotePrefix="0" xfId="0">
      <alignment horizontal="left" vertical="center"/>
    </xf>
    <xf numFmtId="0" fontId="12" fillId="3" borderId="0" applyAlignment="1" pivotButton="0" quotePrefix="0" xfId="0">
      <alignment horizontal="left" vertical="center"/>
    </xf>
    <xf numFmtId="0" fontId="38" fillId="3" borderId="0" applyAlignment="1" pivotButton="0" quotePrefix="0" xfId="0">
      <alignment horizontal="left" vertical="center"/>
    </xf>
    <xf numFmtId="0" fontId="20" fillId="3" borderId="0" applyAlignment="1" pivotButton="0" quotePrefix="0" xfId="0">
      <alignment horizontal="left" vertical="center"/>
    </xf>
    <xf numFmtId="0" fontId="41" fillId="4" borderId="0" applyAlignment="1" pivotButton="0" quotePrefix="0" xfId="0">
      <alignment horizontal="center" vertical="center"/>
    </xf>
    <xf numFmtId="0" fontId="165" fillId="4" borderId="0" applyAlignment="1" pivotButton="0" quotePrefix="0" xfId="0">
      <alignment horizontal="center" vertical="center"/>
    </xf>
    <xf numFmtId="0" fontId="10" fillId="4" borderId="0" applyAlignment="1" pivotButton="0" quotePrefix="0" xfId="0">
      <alignment horizontal="left" vertical="center" wrapText="1"/>
    </xf>
    <xf numFmtId="0" fontId="164" fillId="5" borderId="0" applyAlignment="1" pivotButton="0" quotePrefix="0" xfId="0">
      <alignment horizontal="center" vertical="center"/>
    </xf>
    <xf numFmtId="0" fontId="10" fillId="5" borderId="0" applyAlignment="1" pivotButton="0" quotePrefix="0" xfId="0">
      <alignment horizontal="left" vertical="center" wrapText="1"/>
    </xf>
    <xf numFmtId="0" fontId="34" fillId="4" borderId="0" applyAlignment="1" pivotButton="0" quotePrefix="0" xfId="0">
      <alignment horizontal="center" vertical="center"/>
    </xf>
    <xf numFmtId="0" fontId="164" fillId="4" borderId="0" applyAlignment="1" pivotButton="0" quotePrefix="0" xfId="0">
      <alignment horizontal="center" vertical="center"/>
    </xf>
    <xf numFmtId="0" fontId="41" fillId="5" borderId="0" applyAlignment="1" pivotButton="0" quotePrefix="0" xfId="0">
      <alignment horizontal="center" vertical="center"/>
    </xf>
    <xf numFmtId="0" fontId="165" fillId="5" borderId="0" applyAlignment="1" pivotButton="0" quotePrefix="0" xfId="0">
      <alignment horizontal="center" vertical="center"/>
    </xf>
    <xf numFmtId="0" fontId="10" fillId="4" borderId="0" applyAlignment="1" pivotButton="0" quotePrefix="0" xfId="0">
      <alignment horizontal="center" vertical="center"/>
    </xf>
    <xf numFmtId="0" fontId="10" fillId="5" borderId="0" applyAlignment="1" pivotButton="0" quotePrefix="0" xfId="0">
      <alignment horizontal="center" vertical="center"/>
    </xf>
    <xf numFmtId="0" fontId="22" fillId="4" borderId="0" applyAlignment="1" pivotButton="0" quotePrefix="0" xfId="0">
      <alignment horizontal="center" vertical="center"/>
    </xf>
    <xf numFmtId="0" fontId="10" fillId="4" borderId="0" applyAlignment="1" pivotButton="0" quotePrefix="0" xfId="0">
      <alignment horizontal="left" vertical="center"/>
    </xf>
    <xf numFmtId="0" fontId="22" fillId="5" borderId="0" applyAlignment="1" pivotButton="0" quotePrefix="0" xfId="0">
      <alignment horizontal="center" vertical="center"/>
    </xf>
    <xf numFmtId="0" fontId="10" fillId="5" borderId="0" applyAlignment="1" pivotButton="0" quotePrefix="0" xfId="0">
      <alignment horizontal="left" vertical="center"/>
    </xf>
    <xf numFmtId="0" fontId="23" fillId="2" borderId="0" applyAlignment="1" pivotButton="0" quotePrefix="0" xfId="0">
      <alignment horizontal="center" vertical="center"/>
    </xf>
    <xf numFmtId="0" fontId="26" fillId="3" borderId="0" applyAlignment="1" pivotButton="0" quotePrefix="0" xfId="0">
      <alignment horizontal="center" vertical="center"/>
    </xf>
    <xf numFmtId="0" fontId="175" fillId="5" borderId="0" applyAlignment="1" pivotButton="0" quotePrefix="0" xfId="0">
      <alignment horizontal="center" vertical="center"/>
    </xf>
    <xf numFmtId="0" fontId="28" fillId="4" borderId="0" applyAlignment="1" pivotButton="0" quotePrefix="0" xfId="0">
      <alignment horizontal="center" vertical="center"/>
    </xf>
    <xf numFmtId="0" fontId="176" fillId="4" borderId="0" applyAlignment="1" pivotButton="0" quotePrefix="0" xfId="0">
      <alignment horizontal="center" vertical="center"/>
    </xf>
    <xf numFmtId="0" fontId="2" fillId="5" borderId="0" applyAlignment="1" pivotButton="0" quotePrefix="0" xfId="0">
      <alignment horizontal="center" vertical="center"/>
    </xf>
    <xf numFmtId="0" fontId="2" fillId="4" borderId="0" applyAlignment="1" pivotButton="0" quotePrefix="0" xfId="0">
      <alignment horizontal="center" vertical="center"/>
    </xf>
    <xf numFmtId="0" fontId="177" fillId="4" borderId="0" applyAlignment="1" pivotButton="0" quotePrefix="0" xfId="0">
      <alignment horizontal="center" vertical="center"/>
    </xf>
    <xf numFmtId="0" fontId="177" fillId="5" borderId="0" applyAlignment="1" pivotButton="0" quotePrefix="0" xfId="0">
      <alignment horizontal="center" vertical="center"/>
    </xf>
    <xf numFmtId="0" fontId="56" fillId="0" borderId="0" applyAlignment="1" pivotButton="0" quotePrefix="0" xfId="0">
      <alignment horizontal="left" vertical="top" wrapText="1"/>
    </xf>
  </cellXfs>
  <cellStyles count="1">
    <cellStyle name="Normal" xfId="0" builtinId="0" hidden="0"/>
  </cellStyles>
  <dxfs count="2">
    <dxf>
      <fill>
        <patternFill patternType="solid">
          <fgColor rgb="00F5F5F7"/>
        </patternFill>
      </fill>
    </dxf>
    <dxf>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worksheets/sheet1.xml" Id="rId1"/><Relationship Type="http://schemas.openxmlformats.org/officeDocument/2006/relationships/worksheet" Target="worksheets/sheet2.xml" Id="rId2"/><Relationship Type="http://schemas.openxmlformats.org/officeDocument/2006/relationships/worksheet" Target="worksheets/sheet3.xml" Id="rId3"/><Relationship Type="http://schemas.openxmlformats.org/officeDocument/2006/relationships/worksheet" Target="worksheets/sheet4.xml" Id="rId4"/><Relationship Type="http://schemas.openxmlformats.org/officeDocument/2006/relationships/worksheet" Target="worksheets/sheet5.xml" Id="rId5"/><Relationship Type="http://schemas.openxmlformats.org/officeDocument/2006/relationships/worksheet" Target="worksheets/sheet6.xml" Id="rId6"/><Relationship Type="http://schemas.openxmlformats.org/officeDocument/2006/relationships/worksheet" Target="worksheets/sheet7.xml" Id="rId7"/><Relationship Type="http://schemas.openxmlformats.org/officeDocument/2006/relationships/worksheet" Target="worksheets/sheet8.xml" Id="rId8"/><Relationship Type="http://schemas.openxmlformats.org/officeDocument/2006/relationships/worksheet" Target="worksheets/sheet9.xml" Id="rId9"/><Relationship Type="http://schemas.openxmlformats.org/officeDocument/2006/relationships/worksheet" Target="worksheets/sheet10.xml" Id="rId10"/><Relationship Type="http://schemas.openxmlformats.org/officeDocument/2006/relationships/worksheet" Target="worksheets/sheet11.xml" Id="rId11"/><Relationship Type="http://schemas.openxmlformats.org/officeDocument/2006/relationships/worksheet" Target="worksheets/sheet12.xml" Id="rId12"/><Relationship Type="http://schemas.openxmlformats.org/officeDocument/2006/relationships/worksheet" Target="worksheets/sheet13.xml" Id="rId13"/><Relationship Type="http://schemas.openxmlformats.org/officeDocument/2006/relationships/worksheet" Target="worksheets/sheet14.xml" Id="rId14"/><Relationship Type="http://schemas.openxmlformats.org/officeDocument/2006/relationships/worksheet" Target="worksheets/sheet15.xml" Id="rId15"/><Relationship Type="http://schemas.openxmlformats.org/officeDocument/2006/relationships/worksheet" Target="worksheets/sheet16.xml" Id="rId16"/><Relationship Type="http://schemas.openxmlformats.org/officeDocument/2006/relationships/worksheet" Target="worksheets/sheet17.xml" Id="rId17"/><Relationship Type="http://schemas.openxmlformats.org/officeDocument/2006/relationships/worksheet" Target="worksheets/sheet18.xml" Id="rId18"/><Relationship Type="http://schemas.openxmlformats.org/officeDocument/2006/relationships/worksheet" Target="worksheets/sheet19.xml" Id="rId19"/><Relationship Type="http://schemas.openxmlformats.org/officeDocument/2006/relationships/worksheet" Target="worksheets/sheet20.xml" Id="rId20"/><Relationship Type="http://schemas.openxmlformats.org/officeDocument/2006/relationships/worksheet" Target="worksheets/sheet21.xml" Id="rId21"/><Relationship Type="http://schemas.openxmlformats.org/officeDocument/2006/relationships/worksheet" Target="worksheets/sheet22.xml" Id="rId22"/><Relationship Type="http://schemas.openxmlformats.org/officeDocument/2006/relationships/worksheet" Target="worksheets/sheet23.xml" Id="rId23"/><Relationship Type="http://schemas.openxmlformats.org/officeDocument/2006/relationships/worksheet" Target="worksheets/sheet24.xml" Id="rId24"/><Relationship Type="http://schemas.openxmlformats.org/officeDocument/2006/relationships/worksheet" Target="worksheets/sheet25.xml" Id="rId25"/><Relationship Type="http://schemas.openxmlformats.org/officeDocument/2006/relationships/worksheet" Target="worksheets/sheet26.xml" Id="rId26"/><Relationship Type="http://schemas.openxmlformats.org/officeDocument/2006/relationships/worksheet" Target="worksheets/sheet27.xml" Id="rId27"/><Relationship Type="http://schemas.openxmlformats.org/officeDocument/2006/relationships/worksheet" Target="worksheets/sheet28.xml" Id="rId28"/><Relationship Type="http://schemas.openxmlformats.org/officeDocument/2006/relationships/worksheet" Target="worksheets/sheet29.xml" Id="rId29"/><Relationship Type="http://schemas.openxmlformats.org/officeDocument/2006/relationships/worksheet" Target="worksheets/sheet30.xml" Id="rId30"/><Relationship Type="http://schemas.openxmlformats.org/officeDocument/2006/relationships/worksheet" Target="worksheets/sheet31.xml" Id="rId31"/><Relationship Type="http://schemas.openxmlformats.org/officeDocument/2006/relationships/worksheet" Target="worksheets/sheet32.xml" Id="rId32"/><Relationship Type="http://schemas.openxmlformats.org/officeDocument/2006/relationships/worksheet" Target="worksheets/sheet33.xml" Id="rId33"/><Relationship Type="http://schemas.openxmlformats.org/officeDocument/2006/relationships/worksheet" Target="worksheets/sheet34.xml" Id="rId34"/><Relationship Type="http://schemas.openxmlformats.org/officeDocument/2006/relationships/worksheet" Target="worksheets/sheet35.xml" Id="rId35"/><Relationship Type="http://schemas.openxmlformats.org/officeDocument/2006/relationships/worksheet" Target="worksheets/sheet36.xml" Id="rId36"/><Relationship Type="http://schemas.openxmlformats.org/officeDocument/2006/relationships/worksheet" Target="worksheets/sheet37.xml" Id="rId37"/><Relationship Type="http://schemas.openxmlformats.org/officeDocument/2006/relationships/worksheet" Target="worksheets/sheet38.xml" Id="rId38"/><Relationship Type="http://schemas.openxmlformats.org/officeDocument/2006/relationships/worksheet" Target="worksheets/sheet39.xml" Id="rId39"/><Relationship Type="http://schemas.openxmlformats.org/officeDocument/2006/relationships/worksheet" Target="worksheets/sheet40.xml" Id="rId40"/><Relationship Type="http://schemas.openxmlformats.org/officeDocument/2006/relationships/worksheet" Target="worksheets/sheet41.xml" Id="rId41"/><Relationship Type="http://schemas.openxmlformats.org/officeDocument/2006/relationships/worksheet" Target="worksheets/sheet42.xml" Id="rId42"/><Relationship Type="http://schemas.openxmlformats.org/officeDocument/2006/relationships/worksheet" Target="worksheets/sheet43.xml" Id="rId43"/><Relationship Type="http://schemas.openxmlformats.org/officeDocument/2006/relationships/worksheet" Target="worksheets/sheet44.xml" Id="rId44"/><Relationship Type="http://schemas.openxmlformats.org/officeDocument/2006/relationships/worksheet" Target="worksheets/sheet45.xml" Id="rId45"/><Relationship Type="http://schemas.openxmlformats.org/officeDocument/2006/relationships/worksheet" Target="worksheets/sheet46.xml" Id="rId46"/><Relationship Type="http://schemas.openxmlformats.org/officeDocument/2006/relationships/worksheet" Target="worksheets/sheet47.xml" Id="rId47"/><Relationship Type="http://schemas.openxmlformats.org/officeDocument/2006/relationships/worksheet" Target="worksheets/sheet48.xml" Id="rId48"/><Relationship Type="http://schemas.openxmlformats.org/officeDocument/2006/relationships/worksheet" Target="worksheets/sheet49.xml" Id="rId49"/><Relationship Type="http://schemas.openxmlformats.org/officeDocument/2006/relationships/worksheet" Target="worksheets/sheet50.xml" Id="rId50"/><Relationship Type="http://schemas.openxmlformats.org/officeDocument/2006/relationships/worksheet" Target="worksheets/sheet51.xml" Id="rId51"/><Relationship Type="http://schemas.openxmlformats.org/officeDocument/2006/relationships/worksheet" Target="worksheets/sheet52.xml" Id="rId52"/><Relationship Type="http://schemas.openxmlformats.org/officeDocument/2006/relationships/worksheet" Target="worksheets/sheet53.xml" Id="rId53"/><Relationship Type="http://schemas.openxmlformats.org/officeDocument/2006/relationships/worksheet" Target="worksheets/sheet54.xml" Id="rId54"/><Relationship Type="http://schemas.openxmlformats.org/officeDocument/2006/relationships/worksheet" Target="worksheets/sheet55.xml" Id="rId55"/><Relationship Type="http://schemas.openxmlformats.org/officeDocument/2006/relationships/worksheet" Target="worksheets/sheet56.xml" Id="rId56"/><Relationship Type="http://schemas.openxmlformats.org/officeDocument/2006/relationships/worksheet" Target="worksheets/sheet57.xml" Id="rId57"/><Relationship Type="http://schemas.openxmlformats.org/officeDocument/2006/relationships/worksheet" Target="worksheets/sheet58.xml" Id="rId58"/><Relationship Type="http://schemas.openxmlformats.org/officeDocument/2006/relationships/worksheet" Target="worksheets/sheet59.xml" Id="rId59"/><Relationship Type="http://schemas.openxmlformats.org/officeDocument/2006/relationships/worksheet" Target="worksheets/sheet60.xml" Id="rId60"/><Relationship Type="http://schemas.openxmlformats.org/officeDocument/2006/relationships/worksheet" Target="worksheets/sheet61.xml" Id="rId61"/><Relationship Type="http://schemas.openxmlformats.org/officeDocument/2006/relationships/worksheet" Target="worksheets/sheet62.xml" Id="rId62"/><Relationship Type="http://schemas.openxmlformats.org/officeDocument/2006/relationships/worksheet" Target="worksheets/sheet63.xml" Id="rId63"/><Relationship Type="http://schemas.openxmlformats.org/officeDocument/2006/relationships/worksheet" Target="worksheets/sheet64.xml" Id="rId64"/><Relationship Type="http://schemas.openxmlformats.org/officeDocument/2006/relationships/worksheet" Target="worksheets/sheet65.xml" Id="rId65"/><Relationship Type="http://schemas.openxmlformats.org/officeDocument/2006/relationships/worksheet" Target="worksheets/sheet66.xml" Id="rId66"/><Relationship Type="http://schemas.openxmlformats.org/officeDocument/2006/relationships/worksheet" Target="worksheets/sheet67.xml" Id="rId67"/><Relationship Type="http://schemas.openxmlformats.org/officeDocument/2006/relationships/worksheet" Target="worksheets/sheet68.xml" Id="rId68"/><Relationship Type="http://schemas.openxmlformats.org/officeDocument/2006/relationships/worksheet" Target="worksheets/sheet69.xml" Id="rId69"/><Relationship Type="http://schemas.openxmlformats.org/officeDocument/2006/relationships/worksheet" Target="worksheets/sheet70.xml" Id="rId70"/><Relationship Type="http://schemas.openxmlformats.org/officeDocument/2006/relationships/worksheet" Target="worksheets/sheet71.xml" Id="rId71"/><Relationship Type="http://schemas.openxmlformats.org/officeDocument/2006/relationships/worksheet" Target="worksheets/sheet72.xml" Id="rId72"/><Relationship Type="http://schemas.openxmlformats.org/officeDocument/2006/relationships/worksheet" Target="worksheets/sheet73.xml" Id="rId73"/><Relationship Type="http://schemas.openxmlformats.org/officeDocument/2006/relationships/worksheet" Target="worksheets/sheet74.xml" Id="rId74"/><Relationship Type="http://schemas.openxmlformats.org/officeDocument/2006/relationships/worksheet" Target="worksheets/sheet75.xml" Id="rId75"/><Relationship Type="http://schemas.openxmlformats.org/officeDocument/2006/relationships/worksheet" Target="worksheets/sheet76.xml" Id="rId76"/><Relationship Type="http://schemas.openxmlformats.org/officeDocument/2006/relationships/worksheet" Target="worksheets/sheet77.xml" Id="rId77"/><Relationship Type="http://schemas.openxmlformats.org/officeDocument/2006/relationships/worksheet" Target="worksheets/sheet78.xml" Id="rId78"/><Relationship Type="http://schemas.openxmlformats.org/officeDocument/2006/relationships/worksheet" Target="worksheets/sheet79.xml" Id="rId79"/><Relationship Type="http://schemas.openxmlformats.org/officeDocument/2006/relationships/worksheet" Target="worksheets/sheet80.xml" Id="rId80"/><Relationship Type="http://schemas.openxmlformats.org/officeDocument/2006/relationships/worksheet" Target="worksheets/sheet81.xml" Id="rId81"/><Relationship Type="http://schemas.openxmlformats.org/officeDocument/2006/relationships/worksheet" Target="worksheets/sheet82.xml" Id="rId82"/><Relationship Type="http://schemas.openxmlformats.org/officeDocument/2006/relationships/worksheet" Target="worksheets/sheet83.xml" Id="rId83"/><Relationship Type="http://schemas.openxmlformats.org/officeDocument/2006/relationships/worksheet" Target="worksheets/sheet84.xml" Id="rId84"/><Relationship Type="http://schemas.openxmlformats.org/officeDocument/2006/relationships/worksheet" Target="worksheets/sheet85.xml" Id="rId85"/><Relationship Type="http://schemas.openxmlformats.org/officeDocument/2006/relationships/styles" Target="styles.xml" Id="rId86"/><Relationship Type="http://schemas.openxmlformats.org/officeDocument/2006/relationships/theme" Target="theme/theme1.xml" Id="rId87"/></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Valuation Methods vs. Current Price</a:t>
            </a:r>
          </a:p>
        </rich>
      </tx>
    </title>
    <plotArea>
      <barChart>
        <barDir val="bar"/>
        <grouping val="clustered"/>
        <ser>
          <idx val="0"/>
          <order val="0"/>
          <tx>
            <strRef>
              <f>'Dashboard'!M22</f>
            </strRef>
          </tx>
          <spPr>
            <a:solidFill xmlns:a="http://schemas.openxmlformats.org/drawingml/2006/main">
              <a:srgbClr val="4472C4"/>
            </a:solidFill>
            <a:ln xmlns:a="http://schemas.openxmlformats.org/drawingml/2006/main">
              <a:solidFill>
                <a:srgbClr val="4472C4"/>
              </a:solidFill>
              <a:prstDash val="solid"/>
            </a:ln>
          </spPr>
          <cat>
            <numRef>
              <f>'Dashboard'!$L$23:$L$34</f>
            </numRef>
          </cat>
          <val>
            <numRef>
              <f>'Dashboard'!$M$23:$M$34</f>
            </numRef>
          </val>
        </ser>
        <ser>
          <idx val="1"/>
          <order val="1"/>
          <tx>
            <strRef>
              <f>'Dashboard'!N22</f>
            </strRef>
          </tx>
          <spPr>
            <a:solidFill xmlns:a="http://schemas.openxmlformats.org/drawingml/2006/main">
              <a:srgbClr val="2E75B6"/>
            </a:solidFill>
            <a:ln xmlns:a="http://schemas.openxmlformats.org/drawingml/2006/main">
              <a:solidFill>
                <a:srgbClr val="2E75B6"/>
              </a:solidFill>
              <a:prstDash val="solid"/>
            </a:ln>
          </spPr>
          <cat>
            <numRef>
              <f>'Dashboard'!$L$23:$L$34</f>
            </numRef>
          </cat>
          <val>
            <numRef>
              <f>'Dashboard'!$N$23:$N$34</f>
            </numRef>
          </val>
        </ser>
        <ser>
          <idx val="2"/>
          <order val="2"/>
          <tx>
            <strRef>
              <f>'Dashboard'!O22</f>
            </strRef>
          </tx>
          <spPr>
            <a:solidFill xmlns:a="http://schemas.openxmlformats.org/drawingml/2006/main">
              <a:srgbClr val="375623"/>
            </a:solidFill>
            <a:ln xmlns:a="http://schemas.openxmlformats.org/drawingml/2006/main">
              <a:solidFill>
                <a:srgbClr val="375623"/>
              </a:solidFill>
              <a:prstDash val="solid"/>
            </a:ln>
          </spPr>
          <cat>
            <numRef>
              <f>'Dashboard'!$L$23:$L$34</f>
            </numRef>
          </cat>
          <val>
            <numRef>
              <f>'Dashboard'!$O$23:$O$34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Price (USD)</a:t>
                </a:r>
              </a:p>
            </rich>
          </tx>
        </title>
        <numFmt formatCode="&quot;$&quot;#,##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Scenario Price Path (5-Year Projection)</a:t>
            </a:r>
          </a:p>
        </rich>
      </tx>
    </title>
    <plotArea>
      <lineChart>
        <grouping val="standard"/>
        <ser>
          <idx val="0"/>
          <order val="0"/>
          <tx>
            <strRef>
              <f>'Dashboard'!M45</f>
            </strRef>
          </tx>
          <spPr>
            <a:solidFill xmlns:a="http://schemas.openxmlformats.org/drawingml/2006/main">
              <a:srgbClr val="C41E3A"/>
            </a:solidFill>
            <a:ln xmlns:a="http://schemas.openxmlformats.org/drawingml/2006/main">
              <a:solidFill>
                <a:srgbClr val="C41E3A"/>
              </a:solidFill>
              <a:prstDash val="solid"/>
            </a:ln>
          </spPr>
          <marker>
            <symbol val="none"/>
            <spPr>
              <a:ln xmlns:a="http://schemas.openxmlformats.org/drawingml/2006/main">
                <a:prstDash val="solid"/>
              </a:ln>
            </spPr>
          </marker>
          <cat>
            <numRef>
              <f>'Dashboard'!$L$46:$L$51</f>
            </numRef>
          </cat>
          <val>
            <numRef>
              <f>'Dashboard'!$M$46:$M$51</f>
            </numRef>
          </val>
          <smooth val="1"/>
        </ser>
        <ser>
          <idx val="1"/>
          <order val="1"/>
          <tx>
            <strRef>
              <f>'Dashboard'!N45</f>
            </strRef>
          </tx>
          <spPr>
            <a:solidFill xmlns:a="http://schemas.openxmlformats.org/drawingml/2006/main">
              <a:srgbClr val="2E75B6"/>
            </a:solidFill>
            <a:ln xmlns:a="http://schemas.openxmlformats.org/drawingml/2006/main">
              <a:solidFill>
                <a:srgbClr val="2E75B6"/>
              </a:solidFill>
              <a:prstDash val="solid"/>
            </a:ln>
          </spPr>
          <marker>
            <symbol val="none"/>
            <spPr>
              <a:ln xmlns:a="http://schemas.openxmlformats.org/drawingml/2006/main">
                <a:prstDash val="solid"/>
              </a:ln>
            </spPr>
          </marker>
          <cat>
            <numRef>
              <f>'Dashboard'!$L$46:$L$51</f>
            </numRef>
          </cat>
          <val>
            <numRef>
              <f>'Dashboard'!$N$46:$N$51</f>
            </numRef>
          </val>
          <smooth val="1"/>
        </ser>
        <ser>
          <idx val="2"/>
          <order val="2"/>
          <tx>
            <strRef>
              <f>'Dashboard'!O45</f>
            </strRef>
          </tx>
          <spPr>
            <a:solidFill xmlns:a="http://schemas.openxmlformats.org/drawingml/2006/main">
              <a:srgbClr val="375623"/>
            </a:solidFill>
            <a:ln xmlns:a="http://schemas.openxmlformats.org/drawingml/2006/main">
              <a:solidFill>
                <a:srgbClr val="375623"/>
              </a:solidFill>
              <a:prstDash val="solid"/>
            </a:ln>
          </spPr>
          <marker>
            <symbol val="none"/>
            <spPr>
              <a:ln xmlns:a="http://schemas.openxmlformats.org/drawingml/2006/main">
                <a:prstDash val="solid"/>
              </a:ln>
            </spPr>
          </marker>
          <cat>
            <numRef>
              <f>'Dashboard'!$L$46:$L$51</f>
            </numRef>
          </cat>
          <val>
            <numRef>
              <f>'Dashboard'!$O$46:$O$51</f>
            </numRef>
          </val>
          <smooth val="1"/>
        </ser>
        <axId val="10"/>
        <axId val="100"/>
      </lineChart>
      <catAx>
        <axId val="10"/>
        <scaling>
          <orientation val="minMax"/>
        </scaling>
        <delete val="0"/>
        <axPos val="l"/>
        <title>
          <tx>
            <rich>
              <a:bodyPr xmlns:a="http://schemas.openxmlformats.org/drawingml/2006/main"/>
              <a:p xmlns:a="http://schemas.openxmlformats.org/drawingml/2006/main">
                <a:pPr>
                  <a:defRPr/>
                </a:pPr>
                <a:r>
                  <a:t>Year</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Price (USD)</a:t>
                </a:r>
              </a:p>
            </rich>
          </tx>
        </title>
        <numFmt formatCode="&quot;$&quot;#,##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style val="2"/>
  <chart>
    <title>
      <tx>
        <rich>
          <a:bodyPr xmlns:a="http://schemas.openxmlformats.org/drawingml/2006/main"/>
          <a:p xmlns:a="http://schemas.openxmlformats.org/drawingml/2006/main">
            <a:pPr>
              <a:defRPr/>
            </a:pPr>
            <a:r>
              <a:t>SOTP: Enterprise Value by Segment ($B)</a:t>
            </a:r>
          </a:p>
        </rich>
      </tx>
    </title>
    <plotArea>
      <barChart>
        <barDir val="bar"/>
        <grouping val="clustered"/>
        <ser>
          <idx val="0"/>
          <order val="0"/>
          <tx>
            <strRef>
              <f>'SOTP'!J3</f>
            </strRef>
          </tx>
          <spPr>
            <a:solidFill xmlns:a="http://schemas.openxmlformats.org/drawingml/2006/main">
              <a:srgbClr val="1D1D1F"/>
            </a:solidFill>
            <a:ln xmlns:a="http://schemas.openxmlformats.org/drawingml/2006/main">
              <a:solidFill>
                <a:srgbClr val="1D1D1F"/>
              </a:solidFill>
              <a:prstDash val="solid"/>
            </a:ln>
          </spPr>
          <cat>
            <numRef>
              <f>'SOTP'!$I$4:$I$8</f>
            </numRef>
          </cat>
          <val>
            <numRef>
              <f>'SOTP'!$J$4:$J$8</f>
            </numRef>
          </val>
        </ser>
        <dLbls>
          <dLblPos val="outEnd"/>
          <showLegendKey val="0"/>
          <showVal val="1"/>
          <showCatName val="0"/>
          <showSerName val="0"/>
          <showPercent val="0"/>
        </dLbls>
        <gapWidth val="70"/>
        <axId val="10"/>
        <axId val="100"/>
      </barChart>
      <catAx>
        <axId val="10"/>
        <scaling>
          <orientation val="minMax"/>
        </scaling>
        <delete val="0"/>
        <axPos val="l"/>
        <title>
          <tx>
            <rich>
              <a:bodyPr xmlns:a="http://schemas.openxmlformats.org/drawingml/2006/main"/>
              <a:p xmlns:a="http://schemas.openxmlformats.org/drawingml/2006/main">
                <a:pPr>
                  <a:defRPr/>
                </a:pPr>
                <a:r>
                  <a:t>Segment</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EV ($B)</a:t>
                </a:r>
              </a:p>
            </rich>
          </tx>
        </title>
        <numFmt formatCode="0.0&quot;B&quot;"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style val="2"/>
  <chart>
    <title>
      <tx>
        <rich>
          <a:bodyPr xmlns:a="http://schemas.openxmlformats.org/drawingml/2006/main"/>
          <a:p xmlns:a="http://schemas.openxmlformats.org/drawingml/2006/main">
            <a:pPr>
              <a:defRPr/>
            </a:pPr>
            <a:r>
              <a:t>Sensitivity Tornado — Bear vs Bull Price Impact ($)</a:t>
            </a:r>
          </a:p>
        </rich>
      </tx>
    </title>
    <plotArea>
      <barChart>
        <barDir val="bar"/>
        <grouping val="clustered"/>
        <ser>
          <idx val="0"/>
          <order val="0"/>
          <tx>
            <strRef>
              <f>'Waterfall-Tornado'!I3</f>
            </strRef>
          </tx>
          <spPr>
            <a:solidFill xmlns:a="http://schemas.openxmlformats.org/drawingml/2006/main">
              <a:srgbClr val="C41E3A"/>
            </a:solidFill>
            <a:ln xmlns:a="http://schemas.openxmlformats.org/drawingml/2006/main">
              <a:solidFill>
                <a:srgbClr val="C41E3A"/>
              </a:solidFill>
              <a:prstDash val="solid"/>
            </a:ln>
          </spPr>
          <cat>
            <numRef>
              <f>'Waterfall-Tornado'!$H$4:$H$9</f>
            </numRef>
          </cat>
          <val>
            <numRef>
              <f>'Waterfall-Tornado'!$I$4:$I$9</f>
            </numRef>
          </val>
        </ser>
        <ser>
          <idx val="1"/>
          <order val="1"/>
          <tx>
            <strRef>
              <f>'Waterfall-Tornado'!J3</f>
            </strRef>
          </tx>
          <spPr>
            <a:solidFill xmlns:a="http://schemas.openxmlformats.org/drawingml/2006/main">
              <a:srgbClr val="375623"/>
            </a:solidFill>
            <a:ln xmlns:a="http://schemas.openxmlformats.org/drawingml/2006/main">
              <a:solidFill>
                <a:srgbClr val="375623"/>
              </a:solidFill>
              <a:prstDash val="solid"/>
            </a:ln>
          </spPr>
          <cat>
            <numRef>
              <f>'Waterfall-Tornado'!$H$4:$H$9</f>
            </numRef>
          </cat>
          <val>
            <numRef>
              <f>'Waterfall-Tornado'!$J$4:$J$9</f>
            </numRef>
          </val>
        </ser>
        <dLbls>
          <dLblPos val="outEnd"/>
          <showLegendKey val="0"/>
          <showVal val="1"/>
          <showCatName val="0"/>
          <showSerName val="0"/>
          <showPercent val="0"/>
        </dLbls>
        <gapWidth val="50"/>
        <axId val="10"/>
        <axId val="100"/>
      </barChart>
      <catAx>
        <axId val="10"/>
        <scaling>
          <orientation val="minMax"/>
        </scaling>
        <delete val="0"/>
        <axPos val="l"/>
        <title>
          <tx>
            <rich>
              <a:bodyPr xmlns:a="http://schemas.openxmlformats.org/drawingml/2006/main"/>
              <a:p xmlns:a="http://schemas.openxmlformats.org/drawingml/2006/main">
                <a:pPr>
                  <a:defRPr/>
                </a:pPr>
                <a:r>
                  <a:t>Value Driver</a:t>
                </a:r>
              </a:p>
            </rich>
          </tx>
        </title>
        <majorTickMark val="none"/>
        <minorTickMark val="none"/>
        <crossAx val="100"/>
        <lblOffset val="100"/>
      </catAx>
      <valAx>
        <axId val="100"/>
        <scaling>
          <orientation val="minMax"/>
        </scaling>
        <delete val="0"/>
        <axPos val="l"/>
        <title>
          <tx>
            <rich>
              <a:bodyPr xmlns:a="http://schemas.openxmlformats.org/drawingml/2006/main"/>
              <a:p xmlns:a="http://schemas.openxmlformats.org/drawingml/2006/main">
                <a:pPr>
                  <a:defRPr/>
                </a:pPr>
                <a:r>
                  <a:t>Price per Share ($)</a:t>
                </a:r>
              </a:p>
            </rich>
          </tx>
        </title>
        <numFmt formatCode="&quot;$&quot;#,##0.00" sourceLinked="0"/>
        <majorTickMark val="none"/>
        <minorTickMark val="none"/>
        <crossAx val="10"/>
      </valAx>
    </plotArea>
    <legend>
      <legendPos val="b"/>
    </legend>
    <plotVisOnly val="1"/>
    <dispBlanksAs val="gap"/>
  </chart>
</chartSpace>
</file>

<file path=xl/charts/chart5.xml><?xml version="1.0" encoding="utf-8"?>
<chartSpace xmlns="http://schemas.openxmlformats.org/drawingml/2006/chart">
  <style val="2"/>
  <chart>
    <title>
      <tx>
        <rich>
          <a:bodyPr xmlns:a="http://schemas.openxmlformats.org/drawingml/2006/main"/>
          <a:p xmlns:a="http://schemas.openxmlformats.org/drawingml/2006/main">
            <a:pPr>
              <a:defRPr/>
            </a:pPr>
            <a:r>
              <a:t>Valuation Waterfall — Blended Price Target Build-Up ($)</a:t>
            </a:r>
          </a:p>
        </rich>
      </tx>
    </title>
    <plotArea>
      <barChart>
        <barDir val="col"/>
        <grouping val="stacked"/>
        <ser>
          <idx val="0"/>
          <order val="0"/>
          <tx>
            <strRef>
              <f>'Waterfall-Tornado'!I50</f>
            </strRef>
          </tx>
          <spPr>
            <a:solidFill xmlns:a="http://schemas.openxmlformats.org/drawingml/2006/main">
              <a:srgbClr val="FFFFFF"/>
            </a:solidFill>
            <a:ln xmlns:a="http://schemas.openxmlformats.org/drawingml/2006/main">
              <a:solidFill>
                <a:srgbClr val="FFFFFF"/>
              </a:solidFill>
              <a:prstDash val="solid"/>
            </a:ln>
          </spPr>
          <cat>
            <numRef>
              <f>'Waterfall-Tornado'!$H$51:$H$58</f>
            </numRef>
          </cat>
          <val>
            <numRef>
              <f>'Waterfall-Tornado'!$I$51:$I$58</f>
            </numRef>
          </val>
        </ser>
        <ser>
          <idx val="1"/>
          <order val="1"/>
          <tx>
            <strRef>
              <f>'Waterfall-Tornado'!J50</f>
            </strRef>
          </tx>
          <spPr>
            <a:solidFill xmlns:a="http://schemas.openxmlformats.org/drawingml/2006/main">
              <a:srgbClr val="2E75B6"/>
            </a:solidFill>
            <a:ln xmlns:a="http://schemas.openxmlformats.org/drawingml/2006/main">
              <a:solidFill>
                <a:srgbClr val="1A3A5C"/>
              </a:solidFill>
              <a:prstDash val="solid"/>
            </a:ln>
          </spPr>
          <cat>
            <numRef>
              <f>'Waterfall-Tornado'!$H$51:$H$58</f>
            </numRef>
          </cat>
          <val>
            <numRef>
              <f>'Waterfall-Tornado'!$J$51:$J$58</f>
            </numRef>
          </val>
        </ser>
        <dLbls>
          <dLblPos val="inEnd"/>
          <showLegendKey val="0"/>
          <showVal val="1"/>
          <showCatName val="0"/>
          <showSerName val="0"/>
          <showPercent val="0"/>
        </dLbls>
        <gapWidth val="40"/>
        <overlap val="100"/>
        <axId val="10"/>
        <axId val="100"/>
      </barChart>
      <catAx>
        <axId val="10"/>
        <scaling>
          <orientation val="minMax"/>
        </scaling>
        <delete val="0"/>
        <axPos val="l"/>
        <title>
          <tx>
            <rich>
              <a:bodyPr xmlns:a="http://schemas.openxmlformats.org/drawingml/2006/main"/>
              <a:p xmlns:a="http://schemas.openxmlformats.org/drawingml/2006/main">
                <a:pPr>
                  <a:defRPr/>
                </a:pPr>
                <a:r>
                  <a:t>Valuation Method</a:t>
                </a:r>
              </a:p>
            </rich>
          </tx>
        </title>
        <majorTickMark val="none"/>
        <minorTickMark val="none"/>
        <crossAx val="100"/>
        <lblOffset val="100"/>
      </catAx>
      <valAx>
        <axId val="100"/>
        <scaling>
          <orientation val="minMax"/>
        </scaling>
        <delete val="0"/>
        <axPos val="l"/>
        <title>
          <tx>
            <rich>
              <a:bodyPr xmlns:a="http://schemas.openxmlformats.org/drawingml/2006/main"/>
              <a:p xmlns:a="http://schemas.openxmlformats.org/drawingml/2006/main">
                <a:pPr>
                  <a:defRPr/>
                </a:pPr>
                <a:r>
                  <a:t>Cumulative Price ($)</a:t>
                </a:r>
              </a:p>
            </rich>
          </tx>
        </title>
        <numFmt formatCode="&quot;$&quot;#,##0.00" sourceLinked="0"/>
        <majorTickMark val="none"/>
        <minorTickMark val="none"/>
        <crossAx val="10"/>
      </valAx>
    </plotArea>
    <legend>
      <legendPos val="r"/>
    </legend>
    <plotVisOnly val="1"/>
    <dispBlanksAs val="gap"/>
  </chart>
</chartSpace>
</file>

<file path=xl/charts/chart6.xml><?xml version="1.0" encoding="utf-8"?>
<chartSpace xmlns="http://schemas.openxmlformats.org/drawingml/2006/chart">
  <style val="2"/>
  <chart>
    <title>
      <tx>
        <rich>
          <a:bodyPr xmlns:a="http://schemas.openxmlformats.org/drawingml/2006/main"/>
          <a:p xmlns:a="http://schemas.openxmlformats.org/drawingml/2006/main">
            <a:pPr>
              <a:defRPr/>
            </a:pPr>
            <a:r>
              <a:t>Peer Comps: Revenue Growth vs EV/EBITDA  (one point = one peer)</a:t>
            </a:r>
          </a:p>
        </rich>
      </tx>
    </title>
    <plotArea>
      <scatterChart>
        <ser>
          <idx val="0"/>
          <order val="0"/>
          <tx>
            <v>Microsoft</v>
          </tx>
          <spPr>
            <a:ln xmlns:a="http://schemas.openxmlformats.org/drawingml/2006/main" w="0">
              <a:solidFill>
                <a:srgbClr val="1D1D1F"/>
              </a:solidFill>
              <a:prstDash val="solid"/>
            </a:ln>
          </spPr>
          <marker>
            <symbol val="circle"/>
            <size val="10"/>
            <spPr>
              <a:solidFill xmlns:a="http://schemas.openxmlformats.org/drawingml/2006/main">
                <a:srgbClr val="1D1D1F"/>
              </a:solidFill>
              <a:ln xmlns:a="http://schemas.openxmlformats.org/drawingml/2006/main">
                <a:solidFill>
                  <a:srgbClr val="FFFFFF"/>
                </a:solidFill>
                <a:prstDash val="solid"/>
              </a:ln>
            </spPr>
          </marker>
          <xVal>
            <numRef>
              <f>'Comparable Companies'!$L$4</f>
            </numRef>
          </xVal>
          <yVal>
            <numRef>
              <f>'Comparable Companies'!$M$4</f>
            </numRef>
          </yVal>
        </ser>
        <ser>
          <idx val="1"/>
          <order val="1"/>
          <tx>
            <v>Alphabet</v>
          </tx>
          <spPr>
            <a:ln xmlns:a="http://schemas.openxmlformats.org/drawingml/2006/main" w="0">
              <a:solidFill>
                <a:srgbClr val="0071E3"/>
              </a:solidFill>
              <a:prstDash val="solid"/>
            </a:ln>
          </spPr>
          <marker>
            <symbol val="circle"/>
            <size val="10"/>
            <spPr>
              <a:solidFill xmlns:a="http://schemas.openxmlformats.org/drawingml/2006/main">
                <a:srgbClr val="0071E3"/>
              </a:solidFill>
              <a:ln xmlns:a="http://schemas.openxmlformats.org/drawingml/2006/main">
                <a:solidFill>
                  <a:srgbClr val="FFFFFF"/>
                </a:solidFill>
                <a:prstDash val="solid"/>
              </a:ln>
            </spPr>
          </marker>
          <xVal>
            <numRef>
              <f>'Comparable Companies'!$L$5</f>
            </numRef>
          </xVal>
          <yVal>
            <numRef>
              <f>'Comparable Companies'!$M$5</f>
            </numRef>
          </yVal>
        </ser>
        <ser>
          <idx val="2"/>
          <order val="2"/>
          <tx>
            <v>Meta</v>
          </tx>
          <spPr>
            <a:ln xmlns:a="http://schemas.openxmlformats.org/drawingml/2006/main" w="0">
              <a:solidFill>
                <a:srgbClr val="6E6E73"/>
              </a:solidFill>
              <a:prstDash val="solid"/>
            </a:ln>
          </spPr>
          <marker>
            <symbol val="circle"/>
            <size val="10"/>
            <spPr>
              <a:solidFill xmlns:a="http://schemas.openxmlformats.org/drawingml/2006/main">
                <a:srgbClr val="6E6E73"/>
              </a:solidFill>
              <a:ln xmlns:a="http://schemas.openxmlformats.org/drawingml/2006/main">
                <a:solidFill>
                  <a:srgbClr val="FFFFFF"/>
                </a:solidFill>
                <a:prstDash val="solid"/>
              </a:ln>
            </spPr>
          </marker>
          <xVal>
            <numRef>
              <f>'Comparable Companies'!$L$6</f>
            </numRef>
          </xVal>
          <yVal>
            <numRef>
              <f>'Comparable Companies'!$M$6</f>
            </numRef>
          </yVal>
        </ser>
        <ser>
          <idx val="3"/>
          <order val="3"/>
          <tx>
            <v>Amazon</v>
          </tx>
          <spPr>
            <a:ln xmlns:a="http://schemas.openxmlformats.org/drawingml/2006/main" w="0">
              <a:solidFill>
                <a:srgbClr val="FF3B30"/>
              </a:solidFill>
              <a:prstDash val="solid"/>
            </a:ln>
          </spPr>
          <marker>
            <symbol val="circle"/>
            <size val="10"/>
            <spPr>
              <a:solidFill xmlns:a="http://schemas.openxmlformats.org/drawingml/2006/main">
                <a:srgbClr val="FF3B30"/>
              </a:solidFill>
              <a:ln xmlns:a="http://schemas.openxmlformats.org/drawingml/2006/main">
                <a:solidFill>
                  <a:srgbClr val="FFFFFF"/>
                </a:solidFill>
                <a:prstDash val="solid"/>
              </a:ln>
            </spPr>
          </marker>
          <xVal>
            <numRef>
              <f>'Comparable Companies'!$L$7</f>
            </numRef>
          </xVal>
          <yVal>
            <numRef>
              <f>'Comparable Companies'!$M$7</f>
            </numRef>
          </yVal>
        </ser>
        <ser>
          <idx val="4"/>
          <order val="4"/>
          <tx>
            <v>NVIDIA</v>
          </tx>
          <spPr>
            <a:ln xmlns:a="http://schemas.openxmlformats.org/drawingml/2006/main" w="0">
              <a:solidFill>
                <a:srgbClr val="34C759"/>
              </a:solidFill>
              <a:prstDash val="solid"/>
            </a:ln>
          </spPr>
          <marker>
            <symbol val="circle"/>
            <size val="10"/>
            <spPr>
              <a:solidFill xmlns:a="http://schemas.openxmlformats.org/drawingml/2006/main">
                <a:srgbClr val="34C759"/>
              </a:solidFill>
              <a:ln xmlns:a="http://schemas.openxmlformats.org/drawingml/2006/main">
                <a:solidFill>
                  <a:srgbClr val="FFFFFF"/>
                </a:solidFill>
                <a:prstDash val="solid"/>
              </a:ln>
            </spPr>
          </marker>
          <xVal>
            <numRef>
              <f>'Comparable Companies'!$L$8</f>
            </numRef>
          </xVal>
          <yVal>
            <numRef>
              <f>'Comparable Companies'!$M$8</f>
            </numRef>
          </yVal>
        </ser>
        <axId val="10"/>
        <axId val="20"/>
      </scatterChart>
      <valAx>
        <axId val="10"/>
        <scaling>
          <orientation val="minMax"/>
        </scaling>
        <delete val="0"/>
        <axPos val="l"/>
        <majorGridlines/>
        <title>
          <tx>
            <rich>
              <a:bodyPr xmlns:a="http://schemas.openxmlformats.org/drawingml/2006/main"/>
              <a:p xmlns:a="http://schemas.openxmlformats.org/drawingml/2006/main">
                <a:pPr>
                  <a:defRPr/>
                </a:pPr>
                <a:r>
                  <a:t>Revenue Growth (%)</a:t>
                </a:r>
              </a:p>
            </rich>
          </tx>
        </title>
        <numFmt formatCode="0%" sourceLinked="0"/>
        <majorTickMark val="none"/>
        <minorTickMark val="none"/>
        <crossAx val="20"/>
      </valAx>
      <valAx>
        <axId val="20"/>
        <scaling>
          <orientation val="minMax"/>
        </scaling>
        <delete val="0"/>
        <axPos val="l"/>
        <title>
          <tx>
            <rich>
              <a:bodyPr xmlns:a="http://schemas.openxmlformats.org/drawingml/2006/main"/>
              <a:p xmlns:a="http://schemas.openxmlformats.org/drawingml/2006/main">
                <a:pPr>
                  <a:defRPr/>
                </a:pPr>
                <a:r>
                  <a:t>EV / EBITDA (x)</a:t>
                </a:r>
              </a:p>
            </rich>
          </tx>
        </title>
        <numFmt formatCode="0.0&quot;x&quot;" sourceLinked="0"/>
        <majorTickMark val="none"/>
        <minorTickMark val="none"/>
        <crossAx val="10"/>
      </valAx>
    </plotArea>
    <legend>
      <legendPos val="b"/>
    </legend>
    <plotVisOnly val="1"/>
    <dispBlanksAs val="gap"/>
  </chart>
</chartSpace>
</file>

<file path=xl/charts/chart7.xml><?xml version="1.0" encoding="utf-8"?>
<chartSpace xmlns="http://schemas.openxmlformats.org/drawingml/2006/chart">
  <style val="2"/>
  <chart>
    <title>
      <tx>
        <rich>
          <a:bodyPr xmlns:a="http://schemas.openxmlformats.org/drawingml/2006/main"/>
          <a:p xmlns:a="http://schemas.openxmlformats.org/drawingml/2006/main">
            <a:pPr>
              <a:defRPr/>
            </a:pPr>
            <a:r>
              <a:t>Multi-Metric Peer Comparison (Normalized 1-10)</a:t>
            </a:r>
          </a:p>
        </rich>
      </tx>
    </title>
    <plotArea>
      <radarChart>
        <radarStyle val="filled"/>
        <ser>
          <idx val="0"/>
          <order val="0"/>
          <tx>
            <strRef>
              <f>'Comparable Companies'!O3</f>
            </strRef>
          </tx>
          <spPr>
            <a:solidFill xmlns:a="http://schemas.openxmlformats.org/drawingml/2006/main">
              <a:srgbClr val="0F3460"/>
            </a:solidFill>
            <a:ln xmlns:a="http://schemas.openxmlformats.org/drawingml/2006/main">
              <a:solidFill>
                <a:srgbClr val="0F3460"/>
              </a:solidFill>
              <a:prstDash val="solid"/>
            </a:ln>
          </spPr>
          <marker>
            <symbol val="none"/>
            <spPr>
              <a:ln xmlns:a="http://schemas.openxmlformats.org/drawingml/2006/main">
                <a:prstDash val="solid"/>
              </a:ln>
            </spPr>
          </marker>
          <cat>
            <numRef>
              <f>'Comparable Companies'!$N$4:$N$8</f>
            </numRef>
          </cat>
          <val>
            <numRef>
              <f>'Comparable Companies'!$O$4:$O$8</f>
            </numRef>
          </val>
        </ser>
        <ser>
          <idx val="1"/>
          <order val="1"/>
          <tx>
            <strRef>
              <f>'Comparable Companies'!P3</f>
            </strRef>
          </tx>
          <spPr>
            <a:solidFill xmlns:a="http://schemas.openxmlformats.org/drawingml/2006/main">
              <a:srgbClr val="1D6A39"/>
            </a:solidFill>
            <a:ln xmlns:a="http://schemas.openxmlformats.org/drawingml/2006/main">
              <a:solidFill>
                <a:srgbClr val="1D6A39"/>
              </a:solidFill>
              <a:prstDash val="solid"/>
            </a:ln>
          </spPr>
          <marker>
            <symbol val="none"/>
            <spPr>
              <a:ln xmlns:a="http://schemas.openxmlformats.org/drawingml/2006/main">
                <a:prstDash val="solid"/>
              </a:ln>
            </spPr>
          </marker>
          <cat>
            <numRef>
              <f>'Comparable Companies'!$N$4:$N$8</f>
            </numRef>
          </cat>
          <val>
            <numRef>
              <f>'Comparable Companies'!$P$4:$P$8</f>
            </numRef>
          </val>
        </ser>
        <ser>
          <idx val="2"/>
          <order val="2"/>
          <tx>
            <strRef>
              <f>'Comparable Companies'!Q3</f>
            </strRef>
          </tx>
          <spPr>
            <a:solidFill xmlns:a="http://schemas.openxmlformats.org/drawingml/2006/main">
              <a:srgbClr val="DAA520"/>
            </a:solidFill>
            <a:ln xmlns:a="http://schemas.openxmlformats.org/drawingml/2006/main">
              <a:solidFill>
                <a:srgbClr val="DAA520"/>
              </a:solidFill>
              <a:prstDash val="solid"/>
            </a:ln>
          </spPr>
          <marker>
            <symbol val="none"/>
            <spPr>
              <a:ln xmlns:a="http://schemas.openxmlformats.org/drawingml/2006/main">
                <a:prstDash val="solid"/>
              </a:ln>
            </spPr>
          </marker>
          <cat>
            <numRef>
              <f>'Comparable Companies'!$N$4:$N$8</f>
            </numRef>
          </cat>
          <val>
            <numRef>
              <f>'Comparable Companies'!$Q$4:$Q$8</f>
            </numRef>
          </val>
        </ser>
        <axId val="10"/>
        <axId val="100"/>
      </rad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b"/>
    </legend>
    <plotVisOnly val="1"/>
    <dispBlanksAs val="gap"/>
  </chart>
</chartSpace>
</file>

<file path=xl/charts/chart8.xml><?xml version="1.0" encoding="utf-8"?>
<chartSpace xmlns="http://schemas.openxmlformats.org/drawingml/2006/chart">
  <style val="2"/>
  <chart>
    <title>
      <tx>
        <rich>
          <a:bodyPr xmlns:a="http://schemas.openxmlformats.org/drawingml/2006/main"/>
          <a:p xmlns:a="http://schemas.openxmlformats.org/drawingml/2006/main">
            <a:pPr>
              <a:defRPr/>
            </a:pPr>
            <a:r>
              <a:t>Margin Analysis vs Sector Benchmark (%)</a:t>
            </a:r>
          </a:p>
        </rich>
      </tx>
    </title>
    <plotArea>
      <barChart>
        <barDir val="col"/>
        <grouping val="clustered"/>
        <ser>
          <idx val="0"/>
          <order val="0"/>
          <tx>
            <strRef>
              <f>'Margin Bridge'!I3</f>
            </strRef>
          </tx>
          <spPr>
            <a:solidFill xmlns:a="http://schemas.openxmlformats.org/drawingml/2006/main">
              <a:srgbClr val="0F3460"/>
            </a:solidFill>
            <a:ln xmlns:a="http://schemas.openxmlformats.org/drawingml/2006/main">
              <a:solidFill>
                <a:srgbClr val="0F3460"/>
              </a:solidFill>
              <a:prstDash val="solid"/>
            </a:ln>
          </spPr>
          <cat>
            <numRef>
              <f>'Margin Bridge'!$H$4:$H$7</f>
            </numRef>
          </cat>
          <val>
            <numRef>
              <f>'Margin Bridge'!$I$4:$I$7</f>
            </numRef>
          </val>
        </ser>
        <ser>
          <idx val="1"/>
          <order val="1"/>
          <tx>
            <strRef>
              <f>'Margin Bridge'!J3</f>
            </strRef>
          </tx>
          <spPr>
            <a:solidFill xmlns:a="http://schemas.openxmlformats.org/drawingml/2006/main">
              <a:srgbClr val="808080"/>
            </a:solidFill>
            <a:ln xmlns:a="http://schemas.openxmlformats.org/drawingml/2006/main">
              <a:solidFill>
                <a:srgbClr val="808080"/>
              </a:solidFill>
              <a:prstDash val="solid"/>
            </a:ln>
          </spPr>
          <cat>
            <numRef>
              <f>'Margin Bridge'!$H$4:$H$7</f>
            </numRef>
          </cat>
          <val>
            <numRef>
              <f>'Margin Bridge'!$J$4:$J$7</f>
            </numRef>
          </val>
        </ser>
        <dLbls>
          <dLblPos val="outEnd"/>
          <showLegendKey val="0"/>
          <showVal val="1"/>
          <showCatName val="0"/>
          <showSerName val="0"/>
          <showPercent val="0"/>
        </dLbls>
        <gapWidth val="80"/>
        <overlap val="-20"/>
        <axId val="10"/>
        <axId val="100"/>
      </barChart>
      <catAx>
        <axId val="10"/>
        <scaling>
          <orientation val="minMax"/>
        </scaling>
        <delete val="0"/>
        <axPos val="l"/>
        <title>
          <tx>
            <rich>
              <a:bodyPr xmlns:a="http://schemas.openxmlformats.org/drawingml/2006/main"/>
              <a:p xmlns:a="http://schemas.openxmlformats.org/drawingml/2006/main">
                <a:pPr>
                  <a:defRPr/>
                </a:pPr>
                <a:r>
                  <a:t>Metric</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Margin (%)</a:t>
                </a:r>
              </a:p>
            </rich>
          </tx>
        </title>
        <numFmt formatCode="0.0&quot;%&quot;" sourceLinked="0"/>
        <majorTickMark val="none"/>
        <minorTickMark val="none"/>
        <crossAx val="10"/>
      </valAx>
    </plotArea>
    <legend>
      <legendPos val="b"/>
    </legend>
    <plotVisOnly val="1"/>
    <dispBlanksAs val="gap"/>
  </chart>
</chartSpace>
</file>

<file path=xl/charts/chart9.xml><?xml version="1.0" encoding="utf-8"?>
<chartSpace xmlns="http://schemas.openxmlformats.org/drawingml/2006/chart">
  <style val="2"/>
  <chart>
    <title>
      <tx>
        <rich>
          <a:bodyPr xmlns:a="http://schemas.openxmlformats.org/drawingml/2006/main"/>
          <a:p xmlns:a="http://schemas.openxmlformats.org/drawingml/2006/main">
            <a:pPr>
              <a:defRPr/>
            </a:pPr>
            <a:r>
              <a:t>Ownership Structure by Holder Type (%)</a:t>
            </a:r>
          </a:p>
        </rich>
      </tx>
    </title>
    <plotArea>
      <barChart>
        <barDir val="bar"/>
        <grouping val="clustered"/>
        <ser>
          <idx val="0"/>
          <order val="0"/>
          <tx>
            <strRef>
              <f>'Ownership Structure'!H3</f>
            </strRef>
          </tx>
          <spPr>
            <a:solidFill xmlns:a="http://schemas.openxmlformats.org/drawingml/2006/main">
              <a:srgbClr val="1D1D1F"/>
            </a:solidFill>
            <a:ln xmlns:a="http://schemas.openxmlformats.org/drawingml/2006/main">
              <a:solidFill>
                <a:srgbClr val="1D1D1F"/>
              </a:solidFill>
              <a:prstDash val="solid"/>
            </a:ln>
          </spPr>
          <cat>
            <numRef>
              <f>'Ownership Structure'!$G$4:$G$8</f>
            </numRef>
          </cat>
          <val>
            <numRef>
              <f>'Ownership Structure'!$H$4:$H$8</f>
            </numRef>
          </val>
        </ser>
        <dLbls>
          <dLblPos val="outEnd"/>
          <showLegendKey val="0"/>
          <showVal val="1"/>
          <showCatName val="0"/>
          <showSerName val="0"/>
          <showPercent val="0"/>
        </dLbls>
        <gapWidth val="7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Ownership (%)</a:t>
                </a:r>
              </a:p>
            </rich>
          </tx>
        </title>
        <numFmt formatCode="0.0&quot;%&quot;" sourceLinked="0"/>
        <majorTickMark val="none"/>
        <minorTickMark val="none"/>
        <crossAx val="10"/>
      </valAx>
    </plotArea>
    <legend>
      <legendPos val="b"/>
    </legend>
    <plotVisOnly val="1"/>
    <dispBlanksAs val="gap"/>
  </chart>
</chartSpace>
</file>

<file path=xl/charts/chart10.xml><?xml version="1.0" encoding="utf-8"?>
<chartSpace xmlns="http://schemas.openxmlformats.org/drawingml/2006/chart">
  <style val="2"/>
  <chart>
    <title>
      <tx>
        <rich>
          <a:bodyPr xmlns:a="http://schemas.openxmlformats.org/drawingml/2006/main"/>
          <a:p xmlns:a="http://schemas.openxmlformats.org/drawingml/2006/main">
            <a:pPr>
              <a:defRPr/>
            </a:pPr>
            <a:r>
              <a:t>Football Field — Valuation Range  (Current: $213)</a:t>
            </a:r>
          </a:p>
        </rich>
      </tx>
    </title>
    <plotArea>
      <barChart>
        <barDir val="bar"/>
        <grouping val="stacked"/>
        <ser>
          <idx val="0"/>
          <order val="0"/>
          <tx>
            <strRef>
              <f>'Football Field'!K18</f>
            </strRef>
          </tx>
          <spPr>
            <a:solidFill xmlns:a="http://schemas.openxmlformats.org/drawingml/2006/main">
              <a:srgbClr val="FFFFFF"/>
            </a:solidFill>
            <a:ln xmlns:a="http://schemas.openxmlformats.org/drawingml/2006/main" w="0">
              <a:solidFill>
                <a:srgbClr val="FFFFFF"/>
              </a:solidFill>
              <a:prstDash val="solid"/>
            </a:ln>
          </spPr>
          <cat>
            <numRef>
              <f>'Football Field'!$J$19:$J$25</f>
            </numRef>
          </cat>
          <val>
            <numRef>
              <f>'Football Field'!$K$19:$K$25</f>
            </numRef>
          </val>
        </ser>
        <ser>
          <idx val="1"/>
          <order val="1"/>
          <tx>
            <strRef>
              <f>'Football Field'!L18</f>
            </strRef>
          </tx>
          <spPr>
            <a:solidFill xmlns:a="http://schemas.openxmlformats.org/drawingml/2006/main">
              <a:srgbClr val="2E75B6"/>
            </a:solidFill>
            <a:ln xmlns:a="http://schemas.openxmlformats.org/drawingml/2006/main" w="9525">
              <a:solidFill>
                <a:srgbClr val="1A3A5C"/>
              </a:solidFill>
              <a:prstDash val="solid"/>
            </a:ln>
          </spPr>
          <dLbls>
            <numFmt formatCode="&quot;$&quot;#,##0"/>
            <dLblPos val="inEnd"/>
            <showVal val="1"/>
            <showCatName val="0"/>
            <showSerName val="0"/>
          </dLbls>
          <cat>
            <numRef>
              <f>'Football Field'!$J$19:$J$25</f>
            </numRef>
          </cat>
          <val>
            <numRef>
              <f>'Football Field'!$L$19:$L$25</f>
            </numRef>
          </val>
        </ser>
        <ser>
          <idx val="2"/>
          <order val="2"/>
          <tx>
            <strRef>
              <f>'Football Field'!M18</f>
            </strRef>
          </tx>
          <spPr>
            <a:solidFill xmlns:a="http://schemas.openxmlformats.org/drawingml/2006/main">
              <a:srgbClr val="FF6600"/>
            </a:solidFill>
            <a:ln xmlns:a="http://schemas.openxmlformats.org/drawingml/2006/main">
              <a:solidFill>
                <a:srgbClr val="FF6600"/>
              </a:solidFill>
              <a:prstDash val="solid"/>
            </a:ln>
          </spPr>
          <cat>
            <numRef>
              <f>'Football Field'!$J$19:$J$25</f>
            </numRef>
          </cat>
          <val>
            <numRef>
              <f>'Football Field'!$M$19:$M$25</f>
            </numRef>
          </val>
        </ser>
        <gapWidth val="60"/>
        <overlap val="100"/>
        <axId val="10"/>
        <axId val="100"/>
      </barChart>
      <catAx>
        <axId val="10"/>
        <scaling>
          <orientation val="minMax"/>
        </scaling>
        <delete val="0"/>
        <axPos val="l"/>
        <title>
          <tx>
            <rich>
              <a:bodyPr xmlns:a="http://schemas.openxmlformats.org/drawingml/2006/main"/>
              <a:p xmlns:a="http://schemas.openxmlformats.org/drawingml/2006/main">
                <a:pPr>
                  <a:defRPr/>
                </a:pPr>
                <a:r>
                  <a:t>Valuation Method</a:t>
                </a:r>
              </a:p>
            </rich>
          </tx>
        </title>
        <majorTickMark val="none"/>
        <minorTickMark val="none"/>
        <crossAx val="100"/>
        <lblOffset val="100"/>
      </catAx>
      <valAx>
        <axId val="100"/>
        <scaling>
          <orientation val="minMax"/>
        </scaling>
        <delete val="0"/>
        <axPos val="l"/>
        <title>
          <tx>
            <rich>
              <a:bodyPr xmlns:a="http://schemas.openxmlformats.org/drawingml/2006/main"/>
              <a:p xmlns:a="http://schemas.openxmlformats.org/drawingml/2006/main">
                <a:pPr>
                  <a:defRPr/>
                </a:pPr>
                <a:r>
                  <a:t>Price per Share ($)</a:t>
                </a:r>
              </a:p>
            </rich>
          </tx>
        </title>
        <numFmt formatCode="&quot;$&quot;#,##0" sourceLinked="0"/>
        <majorTickMark val="none"/>
        <minorTickMark val="none"/>
        <crossAx val="10"/>
      </valAx>
    </plotArea>
    <legend>
      <legendPos val="b"/>
    </legend>
    <plotVisOnly val="1"/>
    <dispBlanksAs val="gap"/>
  </chart>
</chartSpace>
</file>

<file path=xl/charts/chart11.xml><?xml version="1.0" encoding="utf-8"?>
<chartSpace xmlns="http://schemas.openxmlformats.org/drawingml/2006/chart">
  <style val="2"/>
  <chart>
    <title>
      <tx>
        <rich>
          <a:bodyPr xmlns:a="http://schemas.openxmlformats.org/drawingml/2006/main"/>
          <a:p xmlns:a="http://schemas.openxmlformats.org/drawingml/2006/main">
            <a:pPr>
              <a:defRPr/>
            </a:pPr>
            <a:r>
              <a:t>Monte Carlo Return Distribution</a:t>
            </a:r>
          </a:p>
        </rich>
      </tx>
    </title>
    <plotArea>
      <barChart>
        <barDir val="col"/>
        <grouping val="clustered"/>
        <ser>
          <idx val="0"/>
          <order val="0"/>
          <tx>
            <strRef>
              <f>'Monte Carlo Output'!G18</f>
            </strRef>
          </tx>
          <spPr>
            <a:solidFill xmlns:a="http://schemas.openxmlformats.org/drawingml/2006/main">
              <a:srgbClr val="2E75B6"/>
            </a:solidFill>
            <a:ln xmlns:a="http://schemas.openxmlformats.org/drawingml/2006/main">
              <a:solidFill>
                <a:srgbClr val="2E75B6"/>
              </a:solidFill>
              <a:prstDash val="solid"/>
            </a:ln>
          </spPr>
          <cat>
            <numRef>
              <f>'Monte Carlo Output'!$F$19:$F$27</f>
            </numRef>
          </cat>
          <val>
            <numRef>
              <f>'Monte Carlo Output'!$G$19:$G$27</f>
            </numRef>
          </val>
        </ser>
        <gapWidth val="20"/>
        <axId val="10"/>
        <axId val="100"/>
      </barChart>
      <catAx>
        <axId val="10"/>
        <scaling>
          <orientation val="minMax"/>
        </scaling>
        <delete val="0"/>
        <axPos val="l"/>
        <title>
          <tx>
            <rich>
              <a:bodyPr xmlns:a="http://schemas.openxmlformats.org/drawingml/2006/main"/>
              <a:p xmlns:a="http://schemas.openxmlformats.org/drawingml/2006/main">
                <a:pPr>
                  <a:defRPr/>
                </a:pPr>
                <a:r>
                  <a:t>Return Bucket</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Probability</a:t>
                </a:r>
              </a:p>
            </rich>
          </tx>
        </title>
        <numFmt formatCode="0.0%" sourceLinked="0"/>
        <majorTickMark val="none"/>
        <minorTickMark val="none"/>
        <crossAx val="10"/>
      </valAx>
    </plotArea>
    <legend>
      <legendPos val="b"/>
    </legend>
    <plotVisOnly val="1"/>
    <dispBlanksAs val="gap"/>
  </chart>
</chartSpace>
</file>

<file path=xl/charts/chart12.xml><?xml version="1.0" encoding="utf-8"?>
<chartSpace xmlns="http://schemas.openxmlformats.org/drawingml/2006/chart">
  <style val="2"/>
  <chart>
    <title>
      <tx>
        <rich>
          <a:bodyPr xmlns:a="http://schemas.openxmlformats.org/drawingml/2006/main"/>
          <a:p xmlns:a="http://schemas.openxmlformats.org/drawingml/2006/main">
            <a:pPr>
              <a:defRPr/>
            </a:pPr>
            <a:r>
              <a:t>Revenue Build — Segment Contribution ($B)</a:t>
            </a:r>
          </a:p>
        </rich>
      </tx>
    </title>
    <plotArea>
      <barChart>
        <barDir val="col"/>
        <grouping val="stacked"/>
        <ser>
          <idx val="0"/>
          <order val="0"/>
          <tx>
            <strRef>
              <f>'Revenue Build'!M20</f>
            </strRef>
          </tx>
          <spPr>
            <a:solidFill xmlns:a="http://schemas.openxmlformats.org/drawingml/2006/main">
              <a:srgbClr val="2E75B6"/>
            </a:solidFill>
            <a:ln xmlns:a="http://schemas.openxmlformats.org/drawingml/2006/main">
              <a:solidFill>
                <a:srgbClr val="2E75B6"/>
              </a:solidFill>
              <a:prstDash val="solid"/>
            </a:ln>
          </spPr>
          <cat>
            <numRef>
              <f>'Revenue Build'!$L$21:$L$26</f>
            </numRef>
          </cat>
          <val>
            <numRef>
              <f>'Revenue Build'!$M$21:$M$26</f>
            </numRef>
          </val>
        </ser>
        <ser>
          <idx val="1"/>
          <order val="1"/>
          <tx>
            <strRef>
              <f>'Revenue Build'!N20</f>
            </strRef>
          </tx>
          <spPr>
            <a:solidFill xmlns:a="http://schemas.openxmlformats.org/drawingml/2006/main">
              <a:srgbClr val="375623"/>
            </a:solidFill>
            <a:ln xmlns:a="http://schemas.openxmlformats.org/drawingml/2006/main">
              <a:solidFill>
                <a:srgbClr val="375623"/>
              </a:solidFill>
              <a:prstDash val="solid"/>
            </a:ln>
          </spPr>
          <cat>
            <numRef>
              <f>'Revenue Build'!$L$21:$L$26</f>
            </numRef>
          </cat>
          <val>
            <numRef>
              <f>'Revenue Build'!$N$21:$N$26</f>
            </numRef>
          </val>
        </ser>
        <ser>
          <idx val="2"/>
          <order val="2"/>
          <tx>
            <strRef>
              <f>'Revenue Build'!O20</f>
            </strRef>
          </tx>
          <spPr>
            <a:solidFill xmlns:a="http://schemas.openxmlformats.org/drawingml/2006/main">
              <a:srgbClr val="C41E3A"/>
            </a:solidFill>
            <a:ln xmlns:a="http://schemas.openxmlformats.org/drawingml/2006/main">
              <a:solidFill>
                <a:srgbClr val="C41E3A"/>
              </a:solidFill>
              <a:prstDash val="solid"/>
            </a:ln>
          </spPr>
          <cat>
            <numRef>
              <f>'Revenue Build'!$L$21:$L$26</f>
            </numRef>
          </cat>
          <val>
            <numRef>
              <f>'Revenue Build'!$O$21:$O$26</f>
            </numRef>
          </val>
        </ser>
        <ser>
          <idx val="3"/>
          <order val="3"/>
          <tx>
            <strRef>
              <f>'Revenue Build'!P20</f>
            </strRef>
          </tx>
          <spPr>
            <a:solidFill xmlns:a="http://schemas.openxmlformats.org/drawingml/2006/main">
              <a:srgbClr val="F4B400"/>
            </a:solidFill>
            <a:ln xmlns:a="http://schemas.openxmlformats.org/drawingml/2006/main">
              <a:solidFill>
                <a:srgbClr val="F4B400"/>
              </a:solidFill>
              <a:prstDash val="solid"/>
            </a:ln>
          </spPr>
          <cat>
            <numRef>
              <f>'Revenue Build'!$L$21:$L$26</f>
            </numRef>
          </cat>
          <val>
            <numRef>
              <f>'Revenue Build'!$P$21:$P$26</f>
            </numRef>
          </val>
        </ser>
        <gapWidth val="40"/>
        <overlap val="100"/>
        <axId val="10"/>
        <axId val="100"/>
      </barChart>
      <catAx>
        <axId val="10"/>
        <scaling>
          <orientation val="minMax"/>
        </scaling>
        <delete val="0"/>
        <axPos val="l"/>
        <title>
          <tx>
            <rich>
              <a:bodyPr xmlns:a="http://schemas.openxmlformats.org/drawingml/2006/main"/>
              <a:p xmlns:a="http://schemas.openxmlformats.org/drawingml/2006/main">
                <a:pPr>
                  <a:defRPr/>
                </a:pPr>
                <a:r>
                  <a:t>Year</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Revenue ($B)</a:t>
                </a:r>
              </a:p>
            </rich>
          </tx>
        </title>
        <numFmt formatCode="0.0&quot;B&quot;" sourceLinked="0"/>
        <majorTickMark val="none"/>
        <minorTickMark val="none"/>
        <crossAx val="10"/>
      </valAx>
    </plotArea>
    <legend>
      <legendPos val="b"/>
    </legend>
    <plotVisOnly val="1"/>
    <dispBlanksAs val="gap"/>
  </chart>
</chartSpace>
</file>

<file path=xl/charts/chart13.xml><?xml version="1.0" encoding="utf-8"?>
<chartSpace xmlns="http://schemas.openxmlformats.org/drawingml/2006/chart">
  <style val="2"/>
  <chart>
    <title>
      <tx>
        <rich>
          <a:bodyPr xmlns:a="http://schemas.openxmlformats.org/drawingml/2006/main"/>
          <a:p xmlns:a="http://schemas.openxmlformats.org/drawingml/2006/main">
            <a:pPr>
              <a:defRPr/>
            </a:pPr>
            <a:r>
              <a:t>Historical Revenue, FCF &amp; Net Income ($B)</a:t>
            </a:r>
          </a:p>
        </rich>
      </tx>
    </title>
    <plotArea>
      <lineChart>
        <grouping val="standard"/>
        <ser>
          <idx val="0"/>
          <order val="0"/>
          <tx>
            <strRef>
              <f>'Historical Trading Chart'!K3</f>
            </strRef>
          </tx>
          <spPr>
            <a:solidFill xmlns:a="http://schemas.openxmlformats.org/drawingml/2006/main">
              <a:srgbClr val="2E75B6"/>
            </a:solidFill>
            <a:ln xmlns:a="http://schemas.openxmlformats.org/drawingml/2006/main">
              <a:solidFill>
                <a:srgbClr val="2E75B6"/>
              </a:solidFill>
              <a:prstDash val="solid"/>
            </a:ln>
          </spPr>
          <marker>
            <symbol val="circle"/>
            <size val="5"/>
            <spPr>
              <a:ln xmlns:a="http://schemas.openxmlformats.org/drawingml/2006/main">
                <a:prstDash val="solid"/>
              </a:ln>
            </spPr>
          </marker>
          <cat>
            <numRef>
              <f>'Historical Trading Chart'!$J$4:$J$8</f>
            </numRef>
          </cat>
          <val>
            <numRef>
              <f>'Historical Trading Chart'!$K$4:$K$8</f>
            </numRef>
          </val>
          <smooth val="1"/>
        </ser>
        <ser>
          <idx val="1"/>
          <order val="1"/>
          <tx>
            <strRef>
              <f>'Historical Trading Chart'!L3</f>
            </strRef>
          </tx>
          <spPr>
            <a:solidFill xmlns:a="http://schemas.openxmlformats.org/drawingml/2006/main">
              <a:srgbClr val="375623"/>
            </a:solidFill>
            <a:ln xmlns:a="http://schemas.openxmlformats.org/drawingml/2006/main">
              <a:solidFill>
                <a:srgbClr val="375623"/>
              </a:solidFill>
              <a:prstDash val="solid"/>
            </a:ln>
          </spPr>
          <marker>
            <symbol val="circle"/>
            <size val="5"/>
            <spPr>
              <a:ln xmlns:a="http://schemas.openxmlformats.org/drawingml/2006/main">
                <a:prstDash val="solid"/>
              </a:ln>
            </spPr>
          </marker>
          <cat>
            <numRef>
              <f>'Historical Trading Chart'!$J$4:$J$8</f>
            </numRef>
          </cat>
          <val>
            <numRef>
              <f>'Historical Trading Chart'!$L$4:$L$8</f>
            </numRef>
          </val>
          <smooth val="1"/>
        </ser>
        <ser>
          <idx val="2"/>
          <order val="2"/>
          <tx>
            <strRef>
              <f>'Historical Trading Chart'!M3</f>
            </strRef>
          </tx>
          <spPr>
            <a:solidFill xmlns:a="http://schemas.openxmlformats.org/drawingml/2006/main">
              <a:srgbClr val="C41E3A"/>
            </a:solidFill>
            <a:ln xmlns:a="http://schemas.openxmlformats.org/drawingml/2006/main">
              <a:solidFill>
                <a:srgbClr val="C41E3A"/>
              </a:solidFill>
              <a:prstDash val="solid"/>
            </a:ln>
          </spPr>
          <marker>
            <symbol val="circle"/>
            <size val="5"/>
            <spPr>
              <a:ln xmlns:a="http://schemas.openxmlformats.org/drawingml/2006/main">
                <a:prstDash val="solid"/>
              </a:ln>
            </spPr>
          </marker>
          <cat>
            <numRef>
              <f>'Historical Trading Chart'!$J$4:$J$8</f>
            </numRef>
          </cat>
          <val>
            <numRef>
              <f>'Historical Trading Chart'!$M$4:$M$8</f>
            </numRef>
          </val>
          <smooth val="1"/>
        </ser>
        <axId val="10"/>
        <axId val="100"/>
      </lineChart>
      <catAx>
        <axId val="10"/>
        <scaling>
          <orientation val="minMax"/>
        </scaling>
        <delete val="0"/>
        <axPos val="l"/>
        <title>
          <tx>
            <rich>
              <a:bodyPr xmlns:a="http://schemas.openxmlformats.org/drawingml/2006/main"/>
              <a:p xmlns:a="http://schemas.openxmlformats.org/drawingml/2006/main">
                <a:pPr>
                  <a:defRPr/>
                </a:pPr>
                <a:r>
                  <a:t>Year</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Value ($B)</a:t>
                </a:r>
              </a:p>
            </rich>
          </tx>
        </title>
        <numFmt formatCode="0.0&quot;B&quot;" sourceLinked="0"/>
        <majorTickMark val="none"/>
        <minorTickMark val="none"/>
        <crossAx val="10"/>
      </valAx>
    </plotArea>
    <legend>
      <legendPos val="b"/>
    </legend>
    <plotVisOnly val="1"/>
    <dispBlanksAs val="gap"/>
  </chart>
</chartSpace>
</file>

<file path=xl/charts/chart14.xml><?xml version="1.0" encoding="utf-8"?>
<chartSpace xmlns="http://schemas.openxmlformats.org/drawingml/2006/chart">
  <style val="2"/>
  <chart>
    <title>
      <tx>
        <rich>
          <a:bodyPr xmlns:a="http://schemas.openxmlformats.org/drawingml/2006/main"/>
          <a:p xmlns:a="http://schemas.openxmlformats.org/drawingml/2006/main">
            <a:pPr>
              <a:defRPr/>
            </a:pPr>
            <a:r>
              <a:t>EV/EBITDA — Company vs Peer Median (6-Year History)</a:t>
            </a:r>
          </a:p>
        </rich>
      </tx>
    </title>
    <plotArea>
      <lineChart>
        <grouping val="standard"/>
        <ser>
          <idx val="0"/>
          <order val="0"/>
          <tx>
            <strRef>
              <f>'Historical Multiples'!B3</f>
            </strRef>
          </tx>
          <spPr>
            <a:ln xmlns:a="http://schemas.openxmlformats.org/drawingml/2006/main" w="25400">
              <a:solidFill>
                <a:srgbClr val="0F3460"/>
              </a:solidFill>
              <a:prstDash val="solid"/>
            </a:ln>
          </spPr>
          <marker>
            <symbol val="circle"/>
            <size val="7"/>
            <spPr>
              <a:solidFill xmlns:a="http://schemas.openxmlformats.org/drawingml/2006/main">
                <a:srgbClr val="0F3460"/>
              </a:solidFill>
              <a:ln xmlns:a="http://schemas.openxmlformats.org/drawingml/2006/main">
                <a:solidFill>
                  <a:srgbClr val="0F3460"/>
                </a:solidFill>
                <a:prstDash val="solid"/>
              </a:ln>
            </spPr>
          </marker>
          <cat>
            <numRef>
              <f>'Historical Multiples'!$A$4:$A$9</f>
            </numRef>
          </cat>
          <val>
            <numRef>
              <f>'Historical Multiples'!$B$4:$B$9</f>
            </numRef>
          </val>
          <smooth val="1"/>
        </ser>
        <ser>
          <idx val="1"/>
          <order val="1"/>
          <tx>
            <strRef>
              <f>'Historical Multiples'!E3</f>
            </strRef>
          </tx>
          <spPr>
            <a:ln xmlns:a="http://schemas.openxmlformats.org/drawingml/2006/main" w="12700">
              <a:solidFill>
                <a:srgbClr val="B22222"/>
              </a:solidFill>
              <a:prstDash val="solid"/>
            </a:ln>
          </spPr>
          <marker>
            <symbol val="diamond"/>
            <size val="7"/>
            <spPr>
              <a:solidFill xmlns:a="http://schemas.openxmlformats.org/drawingml/2006/main">
                <a:srgbClr val="B22222"/>
              </a:solidFill>
              <a:ln xmlns:a="http://schemas.openxmlformats.org/drawingml/2006/main">
                <a:solidFill>
                  <a:srgbClr val="B22222"/>
                </a:solidFill>
                <a:prstDash val="solid"/>
              </a:ln>
            </spPr>
          </marker>
          <cat>
            <numRef>
              <f>'Historical Multiples'!$A$4:$A$9</f>
            </numRef>
          </cat>
          <val>
            <numRef>
              <f>'Historical Multiples'!$E$4:$E$9</f>
            </numRef>
          </val>
          <smooth val="1"/>
        </ser>
        <axId val="10"/>
        <axId val="100"/>
      </lineChart>
      <catAx>
        <axId val="10"/>
        <scaling>
          <orientation val="minMax"/>
        </scaling>
        <delete val="0"/>
        <axPos val="l"/>
        <title>
          <tx>
            <rich>
              <a:bodyPr xmlns:a="http://schemas.openxmlformats.org/drawingml/2006/main"/>
              <a:p xmlns:a="http://schemas.openxmlformats.org/drawingml/2006/main">
                <a:pPr>
                  <a:defRPr/>
                </a:pPr>
                <a:r>
                  <a:t>Year</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EV/EBITDA Multiple (x)</a:t>
                </a:r>
              </a:p>
            </rich>
          </tx>
        </title>
        <numFmt formatCode="0.0&quot;x&quot;" sourceLinked="0"/>
        <majorTickMark val="none"/>
        <minorTickMark val="none"/>
        <crossAx val="10"/>
      </valAx>
    </plotArea>
    <legend>
      <legendPos val="b"/>
    </legend>
    <plotVisOnly val="1"/>
    <dispBlanksAs val="gap"/>
  </chart>
</chartSpace>
</file>

<file path=xl/charts/chart15.xml><?xml version="1.0" encoding="utf-8"?>
<chartSpace xmlns="http://schemas.openxmlformats.org/drawingml/2006/chart">
  <roundedCorners val="0"/>
  <style val="2"/>
  <chart>
    <plotArea>
      <barChart>
        <barDir val="bar"/>
        <grouping val="clustered"/>
        <ser>
          <idx val="0"/>
          <order val="0"/>
          <tx>
            <strRef>
              <f>'Executive Compensation'!J3</f>
            </strRef>
          </tx>
          <spPr>
            <a:solidFill xmlns:a="http://schemas.openxmlformats.org/drawingml/2006/main">
              <a:srgbClr val="0071E3"/>
            </a:solidFill>
            <a:ln xmlns:a="http://schemas.openxmlformats.org/drawingml/2006/main">
              <a:solidFill>
                <a:srgbClr val="0071E3"/>
              </a:solidFill>
              <a:prstDash val="solid"/>
            </a:ln>
          </spPr>
          <cat>
            <numRef>
              <f>'Executive Compensation'!$I$4:$I$8</f>
            </numRef>
          </cat>
          <val>
            <numRef>
              <f>'Executive Compensation'!$J$4:$J$8</f>
            </numRef>
          </val>
        </ser>
        <dLbls>
          <dLblPos val="outEnd"/>
          <showLegendKey val="0"/>
          <showVal val="1"/>
          <showCatName val="0"/>
          <showSerName val="0"/>
          <showPercent val="0"/>
        </dLbls>
        <gapWidth val="6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charts/chart1.xml" Id="rId1"/><Relationship Type="http://schemas.openxmlformats.org/officeDocument/2006/relationships/chart" Target="../charts/chart2.xml" Id="rId2"/></Relationships>
</file>

<file path=xl/drawings/_rels/drawing2.xml.rels><Relationships xmlns="http://schemas.openxmlformats.org/package/2006/relationships"><Relationship Type="http://schemas.openxmlformats.org/officeDocument/2006/relationships/chart" Target="../charts/chart3.xml" Id="rId1"/></Relationships>
</file>

<file path=xl/drawings/_rels/drawing3.xml.rels><Relationships xmlns="http://schemas.openxmlformats.org/package/2006/relationships"><Relationship Type="http://schemas.openxmlformats.org/officeDocument/2006/relationships/chart" Target="../charts/chart4.xml" Id="rId1"/><Relationship Type="http://schemas.openxmlformats.org/officeDocument/2006/relationships/chart" Target="../charts/chart5.xml" Id="rId2"/></Relationships>
</file>

<file path=xl/drawings/_rels/drawing4.xml.rels><Relationships xmlns="http://schemas.openxmlformats.org/package/2006/relationships"><Relationship Type="http://schemas.openxmlformats.org/officeDocument/2006/relationships/chart" Target="../charts/chart6.xml" Id="rId1"/><Relationship Type="http://schemas.openxmlformats.org/officeDocument/2006/relationships/chart" Target="../charts/chart7.xml" Id="rId2"/><Relationship Type="http://schemas.openxmlformats.org/officeDocument/2006/relationships/image" Target="../media/image1.png" Id="rId3"/></Relationships>
</file>

<file path=xl/drawings/_rels/drawing5.xml.rels><Relationships xmlns="http://schemas.openxmlformats.org/package/2006/relationships"><Relationship Type="http://schemas.openxmlformats.org/officeDocument/2006/relationships/chart" Target="../charts/chart8.xml" Id="rId1"/></Relationships>
</file>

<file path=xl/drawings/_rels/drawing6.xml.rels><Relationships xmlns="http://schemas.openxmlformats.org/package/2006/relationships"><Relationship Type="http://schemas.openxmlformats.org/officeDocument/2006/relationships/chart" Target="../charts/chart9.xml" Id="rId1"/></Relationships>
</file>

<file path=xl/drawings/_rels/drawing7.xml.rels><Relationships xmlns="http://schemas.openxmlformats.org/package/2006/relationships"><Relationship Type="http://schemas.openxmlformats.org/officeDocument/2006/relationships/chart" Target="../charts/chart10.xml" Id="rId1"/></Relationships>
</file>

<file path=xl/drawings/_rels/drawing8.xml.rels><Relationships xmlns="http://schemas.openxmlformats.org/package/2006/relationships"><Relationship Type="http://schemas.openxmlformats.org/officeDocument/2006/relationships/chart" Target="../charts/chart11.xml" Id="rId1"/></Relationships>
</file>

<file path=xl/drawings/_rels/drawing9.xml.rels><Relationships xmlns="http://schemas.openxmlformats.org/package/2006/relationships"><Relationship Type="http://schemas.openxmlformats.org/officeDocument/2006/relationships/chart" Target="../charts/chart12.xml" Id="rId1"/></Relationships>
</file>

<file path=xl/drawings/_rels/drawing10.xml.rels><Relationships xmlns="http://schemas.openxmlformats.org/package/2006/relationships"><Relationship Type="http://schemas.openxmlformats.org/officeDocument/2006/relationships/chart" Target="../charts/chart13.xml" Id="rId1"/></Relationships>
</file>

<file path=xl/drawings/_rels/drawing11.xml.rels><Relationships xmlns="http://schemas.openxmlformats.org/package/2006/relationships"><Relationship Type="http://schemas.openxmlformats.org/officeDocument/2006/relationships/chart" Target="../charts/chart14.xml" Id="rId1"/></Relationships>
</file>

<file path=xl/drawings/_rels/drawing12.xml.rels><Relationships xmlns="http://schemas.openxmlformats.org/package/2006/relationships"><Relationship Type="http://schemas.openxmlformats.org/officeDocument/2006/relationships/chart" Target="../charts/chart15.xml" Id="rId1"/></Relationships>
</file>

<file path=xl/drawings/drawing1.xml><?xml version="1.0" encoding="utf-8"?>
<wsDr xmlns="http://schemas.openxmlformats.org/drawingml/2006/spreadsheetDrawing">
  <oneCellAnchor>
    <from>
      <col>1</col>
      <colOff>0</colOff>
      <row>21</row>
      <rowOff>0</rowOff>
    </from>
    <ext cx="6480000" cy="950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44</row>
      <rowOff>0</rowOff>
    </from>
    <ext cx="12960000" cy="50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3</col>
      <colOff>0</colOff>
      <row>19</row>
      <rowOff>0</rowOff>
    </from>
    <ext cx="792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6</col>
      <colOff>0</colOff>
      <row>29</row>
      <rowOff>0</rowOff>
    </from>
    <ext cx="9360000" cy="64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51</row>
      <rowOff>0</rowOff>
    </from>
    <ext cx="7920000" cy="57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4.xml><?xml version="1.0" encoding="utf-8"?>
<wsDr xmlns="http://schemas.openxmlformats.org/drawingml/2006/spreadsheetDrawing">
  <oneCellAnchor>
    <from>
      <col>0</col>
      <colOff>0</colOff>
      <row>20</row>
      <rowOff>0</rowOff>
    </from>
    <ext cx="9360000" cy="57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20</row>
      <rowOff>0</rowOff>
    </from>
    <ext cx="7200000" cy="50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34</row>
      <rowOff>0</rowOff>
    </from>
    <ext cx="6096000" cy="34290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6</col>
      <colOff>0</colOff>
      <row>26</row>
      <rowOff>0</rowOff>
    </from>
    <ext cx="792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6.xml><?xml version="1.0" encoding="utf-8"?>
<wsDr xmlns="http://schemas.openxmlformats.org/drawingml/2006/spreadsheetDrawing">
  <oneCellAnchor>
    <from>
      <col>5</col>
      <colOff>0</colOff>
      <row>11</row>
      <rowOff>0</rowOff>
    </from>
    <ext cx="720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7.xml><?xml version="1.0" encoding="utf-8"?>
<wsDr xmlns="http://schemas.openxmlformats.org/drawingml/2006/spreadsheetDrawing">
  <oneCellAnchor>
    <from>
      <col>0</col>
      <colOff>0</colOff>
      <row>15</row>
      <rowOff>0</rowOff>
    </from>
    <ext cx="10080000" cy="45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8.xml><?xml version="1.0" encoding="utf-8"?>
<wsDr xmlns="http://schemas.openxmlformats.org/drawingml/2006/spreadsheetDrawing">
  <oneCellAnchor>
    <from>
      <col>0</col>
      <colOff>0</colOff>
      <row>17</row>
      <rowOff>0</rowOff>
    </from>
    <ext cx="864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9.xml><?xml version="1.0" encoding="utf-8"?>
<wsDr xmlns="http://schemas.openxmlformats.org/drawingml/2006/spreadsheetDrawing">
  <oneCellAnchor>
    <from>
      <col>0</col>
      <colOff>0</colOff>
      <row>19</row>
      <rowOff>0</rowOff>
    </from>
    <ext cx="1008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10.xml><?xml version="1.0" encoding="utf-8"?>
<wsDr xmlns="http://schemas.openxmlformats.org/drawingml/2006/spreadsheetDrawing">
  <oneCellAnchor>
    <from>
      <col>7</col>
      <colOff>0</colOff>
      <row>2</row>
      <rowOff>0</rowOff>
    </from>
    <ext cx="864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11.xml><?xml version="1.0" encoding="utf-8"?>
<wsDr xmlns="http://schemas.openxmlformats.org/drawingml/2006/spreadsheetDrawing">
  <oneCellAnchor>
    <from>
      <col>0</col>
      <colOff>0</colOff>
      <row>19</row>
      <rowOff>0</rowOff>
    </from>
    <ext cx="936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12.xml><?xml version="1.0" encoding="utf-8"?>
<wsDr xmlns="http://schemas.openxmlformats.org/drawingml/2006/spreadsheetDrawing">
  <oneCellAnchor>
    <from>
      <col>8</col>
      <colOff>0</colOff>
      <row>20</row>
      <rowOff>0</rowOff>
    </from>
    <ext cx="792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PriceTargets" displayName="PriceTargets" ref="A3:G22" headerRowCount="1">
  <autoFilter ref="A3:G22"/>
  <tableColumns count="7">
    <tableColumn id="1" name="Method"/>
    <tableColumn id="2" name="Target Price"/>
    <tableColumn id="3" name="Upside/Down"/>
    <tableColumn id="4" name="Weight"/>
    <tableColumn id="5" name="Range Low"/>
    <tableColumn id="6" name="Range High"/>
    <tableColumn id="7" name="Confidence"/>
  </tableColumns>
  <tableStyleInfo name="TableStyleMedium2" showRowStripes="1"/>
</table>
</file>

<file path=xl/tables/table2.xml><?xml version="1.0" encoding="utf-8"?>
<table xmlns="http://schemas.openxmlformats.org/spreadsheetml/2006/main" id="2" name="SOTPSegments" displayName="SOTPSegments" ref="A3:G8" headerRowCount="1">
  <autoFilter ref="A3:G8"/>
  <tableColumns count="7">
    <tableColumn id="1" name="Segment"/>
    <tableColumn id="2" name="Revenue ($M)"/>
    <tableColumn id="3" name="EV/Rev Multiple"/>
    <tableColumn id="4" name="Segment EV ($B)"/>
    <tableColumn id="5" name="% of Total"/>
    <tableColumn id="6" name="Bear EV ($B)"/>
    <tableColumn id="7" name="Bull EV ($B)"/>
  </tableColumns>
  <tableStyleInfo name="TableStyleMedium2" showRowStripes="1"/>
</table>
</file>

<file path=xl/tables/table3.xml><?xml version="1.0" encoding="utf-8"?>
<table xmlns="http://schemas.openxmlformats.org/spreadsheetml/2006/main" id="3" name="TornadoTable" displayName="TornadoTable" ref="A21:E27" headerRowCount="1">
  <autoFilter ref="A21:E27"/>
  <tableColumns count="5">
    <tableColumn id="1" name="Driver"/>
    <tableColumn id="2" name="Bear Impact"/>
    <tableColumn id="3" name="Bull Impact"/>
    <tableColumn id="4" name="Swing"/>
    <tableColumn id="5" name="Key Assumption"/>
  </tableColumns>
  <tableStyleInfo name="TableStyleMedium2" showRowStripes="1"/>
</table>
</file>

<file path=xl/tables/table4.xml><?xml version="1.0" encoding="utf-8"?>
<table xmlns="http://schemas.openxmlformats.org/spreadsheetml/2006/main" id="4" name="CompsTable" displayName="CompsTable" ref="A3:I9" headerRowCount="1">
  <autoFilter ref="A3:I9"/>
  <tableColumns count="9">
    <tableColumn id="1" name="Company"/>
    <tableColumn id="2" name="Ticker"/>
    <tableColumn id="3" name="EV ($B)"/>
    <tableColumn id="4" name="EV/Rev"/>
    <tableColumn id="5" name="EV/EBITDA"/>
    <tableColumn id="6" name="P/E"/>
    <tableColumn id="7" name="Rev Growth"/>
    <tableColumn id="8" name="EBITDA %"/>
    <tableColumn id="9" name="Mkt Cap ($B)"/>
  </tableColumns>
  <tableStyleInfo name="TableStyleMedium2" showRowStripes="1"/>
</table>
</file>

<file path=xl/tables/table5.xml><?xml version="1.0" encoding="utf-8"?>
<table xmlns="http://schemas.openxmlformats.org/spreadsheetml/2006/main" id="5" name="CompsApplied" displayName="CompsApplied" ref="A13:G16" headerRowCount="1">
  <autoFilter ref="A13:G16"/>
  <tableColumns count="7">
    <tableColumn id="1" name="Metric"/>
    <tableColumn id="2" name="Subject Multiple"/>
    <tableColumn id="3" name="Median Peer"/>
    <tableColumn id="4" name="Subject Value"/>
    <tableColumn id="5" name="Applied EV ($B)"/>
    <tableColumn id="6" name="Implied EPS"/>
    <tableColumn id="7" name="Note"/>
  </tableColumns>
  <tableStyleInfo name="TableStyleMedium2" showRowStripes="1"/>
</table>
</file>

<file path=xl/tables/table6.xml><?xml version="1.0" encoding="utf-8"?>
<table xmlns="http://schemas.openxmlformats.org/spreadsheetml/2006/main" id="6" name="PrecedentTable" displayName="PrecedentTable" ref="A3:H8" headerRowCount="1">
  <autoFilter ref="A3:H8"/>
  <tableColumns count="8">
    <tableColumn id="1" name="Target"/>
    <tableColumn id="2" name="Acquirer"/>
    <tableColumn id="3" name="Date"/>
    <tableColumn id="4" name="Deal Size ($B)"/>
    <tableColumn id="5" name="EV/Rev"/>
    <tableColumn id="6" name="EV/EBITDA"/>
    <tableColumn id="7" name="Premium"/>
    <tableColumn id="8" name="Sector"/>
  </tableColumns>
  <tableStyleInfo name="TableStyleMedium2" showRowStripes="1"/>
</table>
</file>

<file path=xl/tables/table7.xml><?xml version="1.0" encoding="utf-8"?>
<table xmlns="http://schemas.openxmlformats.org/spreadsheetml/2006/main" id="7" name="PrecedentApplied" displayName="PrecedentApplied" ref="A11:F14" headerRowCount="1">
  <autoFilter ref="A11:F14"/>
  <tableColumns count="6">
    <tableColumn id="1" name="Metric"/>
    <tableColumn id="2" name="Median Multiple"/>
    <tableColumn id="3" name="Subject Base ($M)"/>
    <tableColumn id="4" name="Implied EV ($B)"/>
    <tableColumn id="5" name="Equity / Share"/>
    <tableColumn id="6" name="Note"/>
  </tableColumns>
  <tableStyleInfo name="TableStyleMedium2" showRowStripes="1"/>
</table>
</file>

<file path=xl/tables/table8.xml><?xml version="1.0" encoding="utf-8"?>
<table xmlns="http://schemas.openxmlformats.org/spreadsheetml/2006/main" id="8" name="OpLevTable" displayName="OpLevTable" ref="A22:C26" headerRowCount="1">
  <autoFilter ref="A22:C26"/>
  <tableColumns count="3">
    <tableColumn id="1" name="Metric"/>
    <tableColumn id="2" name="Value"/>
    <tableColumn id="3" name="Interpretation"/>
  </tableColumns>
  <tableStyleInfo name="TableStyleMedium2" showRowStripes="1"/>
</table>
</file>

<file path=xl/tables/table9.xml><?xml version="1.0" encoding="utf-8"?>
<table xmlns="http://schemas.openxmlformats.org/spreadsheetml/2006/main" id="9" name="RiskTable" displayName="RiskTable" ref="A3:G19" headerRowCount="1">
  <autoFilter ref="A3:G19"/>
  <tableColumns count="7">
    <tableColumn id="1" name="Risk Category"/>
    <tableColumn id="2" name="Description"/>
    <tableColumn id="3" name="Likelihood (1-5)"/>
    <tableColumn id="4" name="Impact (1-5)"/>
    <tableColumn id="5" name="Risk Score"/>
    <tableColumn id="6" name="Rating"/>
    <tableColumn id="7" name="Mitigation Strategy"/>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 Type="http://schemas.openxmlformats.org/officeDocument/2006/relationships/hyperlink" Target="#Cover!A1" TargetMode="External" Id="rId11"/><Relationship Type="http://schemas.openxmlformats.org/officeDocument/2006/relationships/hyperlink" Target="#Table of Contents!A1" TargetMode="External" Id="rId12"/><Relationship Type="http://schemas.openxmlformats.org/officeDocument/2006/relationships/hyperlink" Target="#Scorecard!A1" TargetMode="External" Id="rId13"/><Relationship Type="http://schemas.openxmlformats.org/officeDocument/2006/relationships/hyperlink" Target="#Price Target!A1" TargetMode="External" Id="rId14"/><Relationship Type="http://schemas.openxmlformats.org/officeDocument/2006/relationships/hyperlink" Target="#Summary!A1" TargetMode="External" Id="rId15"/><Relationship Type="http://schemas.openxmlformats.org/officeDocument/2006/relationships/hyperlink" Target="#EV Bridge!A1" TargetMode="External" Id="rId16"/><Relationship Type="http://schemas.openxmlformats.org/officeDocument/2006/relationships/hyperlink" Target="#SOTP!A1" TargetMode="External" Id="rId17"/><Relationship Type="http://schemas.openxmlformats.org/officeDocument/2006/relationships/hyperlink" Target="#Waterfall-Tornado!A1" TargetMode="External" Id="rId18"/><Relationship Type="http://schemas.openxmlformats.org/officeDocument/2006/relationships/hyperlink" Target="#DCF Scenarios!A1" TargetMode="External" Id="rId19"/><Relationship Type="http://schemas.openxmlformats.org/officeDocument/2006/relationships/hyperlink" Target="#Sensitivity!A1" TargetMode="External" Id="rId20"/><Relationship Type="http://schemas.openxmlformats.org/officeDocument/2006/relationships/hyperlink" Target="#Comparable Companies!A1" TargetMode="External" Id="rId21"/><Relationship Type="http://schemas.openxmlformats.org/officeDocument/2006/relationships/hyperlink" Target="#Precedent Transactions!A1" TargetMode="External" Id="rId22"/><Relationship Type="http://schemas.openxmlformats.org/officeDocument/2006/relationships/hyperlink" Target="#LBO Analysis!A1" TargetMode="External" Id="rId23"/><Relationship Type="http://schemas.openxmlformats.org/officeDocument/2006/relationships/hyperlink" Target="#Quality of Earnings!A1" TargetMode="External" Id="rId24"/><Relationship Type="http://schemas.openxmlformats.org/officeDocument/2006/relationships/hyperlink" Target="#Unit Economics!A1" TargetMode="External" Id="rId25"/><Relationship Type="http://schemas.openxmlformats.org/officeDocument/2006/relationships/hyperlink" Target="#Capital Allocation!A1" TargetMode="External" Id="rId26"/><Relationship Type="http://schemas.openxmlformats.org/officeDocument/2006/relationships/hyperlink" Target="#Deep Analysis!A1" TargetMode="External" Id="rId27"/><Relationship Type="http://schemas.openxmlformats.org/officeDocument/2006/relationships/hyperlink" Target="#Margin Bridge!A1" TargetMode="External" Id="rId28"/><Relationship Type="http://schemas.openxmlformats.org/officeDocument/2006/relationships/hyperlink" Target="#Cash Flow Waterfall!A1" TargetMode="External" Id="rId29"/><Relationship Type="http://schemas.openxmlformats.org/officeDocument/2006/relationships/hyperlink" Target="#Diluted Shares!A1" TargetMode="External" Id="rId30"/><Relationship Type="http://schemas.openxmlformats.org/officeDocument/2006/relationships/hyperlink" Target="#Debt Schedule!A1" TargetMode="External" Id="rId31"/><Relationship Type="http://schemas.openxmlformats.org/officeDocument/2006/relationships/hyperlink" Target="#IRR Table!A1" TargetMode="External" Id="rId32"/><Relationship Type="http://schemas.openxmlformats.org/officeDocument/2006/relationships/hyperlink" Target="#Pro-Forma Balance Sheet!A1" TargetMode="External" Id="rId33"/><Relationship Type="http://schemas.openxmlformats.org/officeDocument/2006/relationships/hyperlink" Target="#Acquisition Premium!A1" TargetMode="External" Id="rId34"/><Relationship Type="http://schemas.openxmlformats.org/officeDocument/2006/relationships/hyperlink" Target="#ESG Scorecard!A1" TargetMode="External" Id="rId35"/><Relationship Type="http://schemas.openxmlformats.org/officeDocument/2006/relationships/hyperlink" Target="#Risk Register!A1" TargetMode="External" Id="rId36"/><Relationship Type="http://schemas.openxmlformats.org/officeDocument/2006/relationships/hyperlink" Target="#Ownership Structure!A1" TargetMode="External" Id="rId37"/><Relationship Type="http://schemas.openxmlformats.org/officeDocument/2006/relationships/hyperlink" Target="#Assumptions!A1" TargetMode="External" Id="rId38"/><Relationship Type="http://schemas.openxmlformats.org/officeDocument/2006/relationships/hyperlink" Target="#Football Field!A1" TargetMode="External" Id="rId39"/><Relationship Type="http://schemas.openxmlformats.org/officeDocument/2006/relationships/hyperlink" Target="#3-Statement Model!A1" TargetMode="External" Id="rId40"/><Relationship Type="http://schemas.openxmlformats.org/officeDocument/2006/relationships/hyperlink" Target="#Monte Carlo Output!A1" TargetMode="External" Id="rId41"/><Relationship Type="http://schemas.openxmlformats.org/officeDocument/2006/relationships/hyperlink" Target="#Revenue Build!A1" TargetMode="External" Id="rId42"/><Relationship Type="http://schemas.openxmlformats.org/officeDocument/2006/relationships/hyperlink" Target="#Historical Trading Chart!A1" TargetMode="External" Id="rId43"/><Relationship Type="http://schemas.openxmlformats.org/officeDocument/2006/relationships/hyperlink" Target="#Dividend Discount Model!A1" TargetMode="External" Id="rId44"/><Relationship Type="http://schemas.openxmlformats.org/officeDocument/2006/relationships/hyperlink" Target="#Working Capital Schedule!A1" TargetMode="External" Id="rId45"/><Relationship Type="http://schemas.openxmlformats.org/officeDocument/2006/relationships/hyperlink" Target="#Historical Multiples!A1" TargetMode="External" Id="rId46"/><Relationship Type="http://schemas.openxmlformats.org/officeDocument/2006/relationships/hyperlink" Target="#SaaS Metrics Dashboard!A1" TargetMode="External" Id="rId47"/><Relationship Type="http://schemas.openxmlformats.org/officeDocument/2006/relationships/hyperlink" Target="#Macro Sensitivity!A1" TargetMode="External" Id="rId48"/><Relationship Type="http://schemas.openxmlformats.org/officeDocument/2006/relationships/hyperlink" Target="#Segment Analysis!A1" TargetMode="External" Id="rId49"/><Relationship Type="http://schemas.openxmlformats.org/officeDocument/2006/relationships/hyperlink" Target="#PP&amp;E Schedule!A1" TargetMode="External" Id="rId50"/><Relationship Type="http://schemas.openxmlformats.org/officeDocument/2006/relationships/hyperlink" Target="#Insider Transactions!A1" TargetMode="External" Id="rId51"/><Relationship Type="http://schemas.openxmlformats.org/officeDocument/2006/relationships/hyperlink" Target="#Short Interest!A1" TargetMode="External" Id="rId52"/><Relationship Type="http://schemas.openxmlformats.org/officeDocument/2006/relationships/hyperlink" Target="#Options &amp; Implied Volatility!A1" TargetMode="External" Id="rId53"/><Relationship Type="http://schemas.openxmlformats.org/officeDocument/2006/relationships/hyperlink" Target="#NAV Analysis!A1" TargetMode="External" Id="rId54"/><Relationship Type="http://schemas.openxmlformats.org/officeDocument/2006/relationships/hyperlink" Target="#Executive Compensation!A1" TargetMode="External" Id="rId55"/><Relationship Type="http://schemas.openxmlformats.org/officeDocument/2006/relationships/hyperlink" Target="#Credit Analysis!A1" TargetMode="External" Id="rId56"/><Relationship Type="http://schemas.openxmlformats.org/officeDocument/2006/relationships/hyperlink" Target="#Quarterly Model!A1" TargetMode="External" Id="rId57"/><Relationship Type="http://schemas.openxmlformats.org/officeDocument/2006/relationships/hyperlink" Target="#Consensus Estimates!A1" TargetMode="External" Id="rId58"/><Relationship Type="http://schemas.openxmlformats.org/officeDocument/2006/relationships/hyperlink" Target="#VBA Macro Guide!A1" TargetMode="External" Id="rId59"/><Relationship Type="http://schemas.openxmlformats.org/officeDocument/2006/relationships/hyperlink" Target="#Segment Revenue Build!A1" TargetMode="External" Id="rId60"/><Relationship Type="http://schemas.openxmlformats.org/officeDocument/2006/relationships/hyperlink" Target="#Drift Monitor!A1" TargetMode="External" Id="rId61"/><Relationship Type="http://schemas.openxmlformats.org/officeDocument/2006/relationships/hyperlink" Target="#Credit-Equity Gap!A1" TargetMode="External" Id="rId62"/><Relationship Type="http://schemas.openxmlformats.org/officeDocument/2006/relationships/hyperlink" Target="#Backtest!A1" TargetMode="External" Id="rId63"/><Relationship Type="http://schemas.openxmlformats.org/officeDocument/2006/relationships/hyperlink" Target="#NL Editor!A1" TargetMode="External" Id="rId64"/><Relationship Type="http://schemas.openxmlformats.org/officeDocument/2006/relationships/hyperlink" Target="#Thesis Checker!A1" TargetMode="External" Id="rId65"/><Relationship Type="http://schemas.openxmlformats.org/officeDocument/2006/relationships/hyperlink" Target="#Cross-Co Interactions!A1" TargetMode="External" Id="rId66"/><Relationship Type="http://schemas.openxmlformats.org/officeDocument/2006/relationships/hyperlink" Target="#Options Overlay!A1" TargetMode="External" Id="rId67"/><Relationship Type="http://schemas.openxmlformats.org/officeDocument/2006/relationships/hyperlink" Target="#Regime Scenarios!A1" TargetMode="External" Id="rId68"/><Relationship Type="http://schemas.openxmlformats.org/officeDocument/2006/relationships/hyperlink" Target="#Platform Value!A1" TargetMode="External" Id="rId69"/><Relationship Type="http://schemas.openxmlformats.org/officeDocument/2006/relationships/hyperlink" Target="#Fat-Tail MC!A1" TargetMode="External" Id="rId70"/><Relationship Type="http://schemas.openxmlformats.org/officeDocument/2006/relationships/hyperlink" Target="#Analog Matcher!A1" TargetMode="External" Id="rId71"/><Relationship Type="http://schemas.openxmlformats.org/officeDocument/2006/relationships/hyperlink" Target="#Earnings NLP!A1" TargetMode="External" Id="rId72"/><Relationship Type="http://schemas.openxmlformats.org/officeDocument/2006/relationships/hyperlink" Target="#Alt Data!A1" TargetMode="External" Id="rId73"/><Relationship Type="http://schemas.openxmlformats.org/officeDocument/2006/relationships/hyperlink" Target="#Guidance Tracker!A1" TargetMode="External" Id="rId74"/><Relationship Type="http://schemas.openxmlformats.org/officeDocument/2006/relationships/hyperlink" Target="#Capital Structure!A1" TargetMode="External" Id="rId75"/><Relationship Type="http://schemas.openxmlformats.org/officeDocument/2006/relationships/hyperlink" Target="#Model Audit &amp; Governance!A1" TargetMode="External" Id="rId76"/></Relationships>
</file>

<file path=xl/worksheets/_rels/sheet3.xml.rels><Relationships xmlns="http://schemas.openxmlformats.org/package/2006/relationships"><Relationship Type="http://schemas.openxmlformats.org/officeDocument/2006/relationships/drawing" Target="../drawings/drawing1.xml" Id="rId1"/></Relationships>
</file>

<file path=xl/worksheets/_rels/sheet5.xml.rels><Relationships xmlns="http://schemas.openxmlformats.org/package/2006/relationships"><Relationship Type="http://schemas.openxmlformats.org/officeDocument/2006/relationships/table" Target="../tables/table1.xml" Id="rId1"/></Relationships>
</file>

<file path=xl/worksheets/_rels/sheet8.xml.rels><Relationships xmlns="http://schemas.openxmlformats.org/package/2006/relationships"><Relationship Type="http://schemas.openxmlformats.org/officeDocument/2006/relationships/drawing" Target="../drawings/drawing2.xml" Id="rId1"/><Relationship Type="http://schemas.openxmlformats.org/officeDocument/2006/relationships/table" Target="../tables/table2.xml" Id="rId2"/></Relationships>
</file>

<file path=xl/worksheets/_rels/sheet9.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 Type="http://schemas.openxmlformats.org/officeDocument/2006/relationships/drawing" Target="../drawings/drawing3.xml" Id="rId11"/><Relationship Type="http://schemas.openxmlformats.org/officeDocument/2006/relationships/table" Target="../tables/table3.xml" Id="rId12"/></Relationships>
</file>

<file path=xl/worksheets/_rels/sheet10.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11.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12.xml.rels><Relationships xmlns="http://schemas.openxmlformats.org/package/2006/relationships"><Relationship Type="http://schemas.openxmlformats.org/officeDocument/2006/relationships/drawing" Target="../drawings/drawing4.xml" Id="rId1"/><Relationship Type="http://schemas.openxmlformats.org/officeDocument/2006/relationships/table" Target="../tables/table4.xml" Id="rId2"/><Relationship Type="http://schemas.openxmlformats.org/officeDocument/2006/relationships/table" Target="../tables/table5.xml" Id="rId3"/></Relationships>
</file>

<file path=xl/worksheets/_rels/sheet13.xml.rels><Relationships xmlns="http://schemas.openxmlformats.org/package/2006/relationships"><Relationship Type="http://schemas.openxmlformats.org/officeDocument/2006/relationships/table" Target="../tables/table6.xml" Id="rId1"/><Relationship Type="http://schemas.openxmlformats.org/officeDocument/2006/relationships/table" Target="../tables/table7.xml" Id="rId2"/></Relationships>
</file>

<file path=xl/worksheets/_rels/sheet14.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18.xml.rels><Relationships xmlns="http://schemas.openxmlformats.org/package/2006/relationships"><Relationship Type="http://schemas.openxmlformats.org/officeDocument/2006/relationships/table" Target="../tables/table8.xml" Id="rId1"/></Relationships>
</file>

<file path=xl/worksheets/_rels/sheet19.xml.rels><Relationships xmlns="http://schemas.openxmlformats.org/package/2006/relationships"><Relationship Type="http://schemas.openxmlformats.org/officeDocument/2006/relationships/drawing" Target="../drawings/drawing5.xml" Id="rId1"/></Relationships>
</file>

<file path=xl/worksheets/_rels/sheet27.xml.rels><Relationships xmlns="http://schemas.openxmlformats.org/package/2006/relationships"><Relationship Type="http://schemas.openxmlformats.org/officeDocument/2006/relationships/table" Target="../tables/table9.xml" Id="rId1"/></Relationships>
</file>

<file path=xl/worksheets/_rels/sheet28.xml.rels><Relationships xmlns="http://schemas.openxmlformats.org/package/2006/relationships"><Relationship Type="http://schemas.openxmlformats.org/officeDocument/2006/relationships/drawing" Target="../drawings/drawing6.xml" Id="rId1"/></Relationships>
</file>

<file path=xl/worksheets/_rels/sheet29.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30.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 Type="http://schemas.openxmlformats.org/officeDocument/2006/relationships/drawing" Target="../drawings/drawing7.xml" Id="rId11"/></Relationships>
</file>

<file path=xl/worksheets/_rels/sheet32.xml.rels><Relationships xmlns="http://schemas.openxmlformats.org/package/2006/relationships"><Relationship Type="http://schemas.openxmlformats.org/officeDocument/2006/relationships/drawing" Target="../drawings/drawing8.xml" Id="rId1"/></Relationships>
</file>

<file path=xl/worksheets/_rels/sheet33.xml.rels><Relationships xmlns="http://schemas.openxmlformats.org/package/2006/relationships"><Relationship Type="http://schemas.openxmlformats.org/officeDocument/2006/relationships/drawing" Target="../drawings/drawing9.xml" Id="rId1"/></Relationships>
</file>

<file path=xl/worksheets/_rels/sheet34.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 Type="http://schemas.openxmlformats.org/officeDocument/2006/relationships/drawing" Target="../drawings/drawing10.xml" Id="rId11"/></Relationships>
</file>

<file path=xl/worksheets/_rels/sheet37.xml.rels><Relationships xmlns="http://schemas.openxmlformats.org/package/2006/relationships"><Relationship Type="http://schemas.openxmlformats.org/officeDocument/2006/relationships/drawing" Target="../drawings/drawing11.xml" Id="rId1"/></Relationships>
</file>

<file path=xl/worksheets/_rels/sheet38.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39.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41.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42.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43.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44.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46.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 Type="http://schemas.openxmlformats.org/officeDocument/2006/relationships/drawing" Target="../drawings/drawing12.xml" Id="rId11"/></Relationships>
</file>

<file path=xl/worksheets/_rels/sheet47.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48.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49.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50.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51.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52.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0.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1.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2.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3.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4.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5.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6.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_rels/sheet67.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Table of Contents!A1" TargetMode="External" Id="rId2"/><Relationship Type="http://schemas.openxmlformats.org/officeDocument/2006/relationships/hyperlink" Target="#Scorecard!A1" TargetMode="External" Id="rId3"/><Relationship Type="http://schemas.openxmlformats.org/officeDocument/2006/relationships/hyperlink" Target="#Price Target!A1" TargetMode="External" Id="rId4"/><Relationship Type="http://schemas.openxmlformats.org/officeDocument/2006/relationships/hyperlink" Target="#DCF Scenarios!A1" TargetMode="External" Id="rId5"/><Relationship Type="http://schemas.openxmlformats.org/officeDocument/2006/relationships/hyperlink" Target="#Comparable Companies!A1" TargetMode="External" Id="rId6"/><Relationship Type="http://schemas.openxmlformats.org/officeDocument/2006/relationships/hyperlink" Target="#Football Field!A1" TargetMode="External" Id="rId7"/><Relationship Type="http://schemas.openxmlformats.org/officeDocument/2006/relationships/hyperlink" Target="#3-Statement Model!A1" TargetMode="External" Id="rId8"/><Relationship Type="http://schemas.openxmlformats.org/officeDocument/2006/relationships/hyperlink" Target="#Segment Analysis!A1" TargetMode="External" Id="rId9"/><Relationship Type="http://schemas.openxmlformats.org/officeDocument/2006/relationships/hyperlink" Target="#Credit Analysis!A1" TargetMode="External" Id="rId10"/></Relationships>
</file>

<file path=xl/worksheets/sheet1.xml><?xml version="1.0" encoding="utf-8"?>
<worksheet xmlns="http://schemas.openxmlformats.org/spreadsheetml/2006/main">
  <sheetPr>
    <tabColor rgb="000071E3"/>
    <outlinePr summaryBelow="1" summaryRight="1"/>
    <pageSetUpPr fitToPage="1"/>
  </sheetPr>
  <dimension ref="A1:H50"/>
  <sheetViews>
    <sheetView showGridLines="0" workbookViewId="0">
      <pane ySplit="6" topLeftCell="A7" activePane="bottomLeft" state="frozen"/>
      <selection pane="bottomLeft" activeCell="A1" sqref="A1"/>
    </sheetView>
  </sheetViews>
  <sheetFormatPr baseColWidth="8" defaultRowHeight="15"/>
  <cols>
    <col width="2" customWidth="1" min="1" max="1"/>
    <col width="22" customWidth="1" min="2" max="2"/>
    <col width="16" customWidth="1" min="3" max="3"/>
    <col width="16" customWidth="1" min="4" max="4"/>
    <col width="16" customWidth="1" min="5" max="5"/>
    <col width="16" customWidth="1" min="6" max="6"/>
    <col width="16" customWidth="1" min="7" max="7"/>
    <col width="2" customWidth="1" min="8" max="8"/>
  </cols>
  <sheetData>
    <row r="1" ht="8" customHeight="1">
      <c r="A1" s="1" t="n"/>
      <c r="B1" s="1" t="n"/>
      <c r="C1" s="1" t="n"/>
      <c r="D1" s="1" t="n"/>
      <c r="E1" s="1" t="n"/>
      <c r="F1" s="1" t="n"/>
      <c r="G1" s="1" t="n"/>
      <c r="H1" s="1" t="n"/>
    </row>
    <row r="2" ht="54" customHeight="1">
      <c r="A2" s="2" t="inlineStr">
        <is>
          <t xml:space="preserve">  APPLE INC.</t>
        </is>
      </c>
    </row>
    <row r="3" ht="18" customHeight="1">
      <c r="A3" s="3" t="inlineStr">
        <is>
          <t xml:space="preserve">  NASDAQ: AAPL   ·   Technology   ·   Orcen Capital   ·   July 11, 2026</t>
        </is>
      </c>
    </row>
    <row r="4" ht="4" customHeight="1">
      <c r="A4" s="4" t="n"/>
      <c r="B4" s="4" t="n"/>
      <c r="C4" s="4" t="n"/>
      <c r="D4" s="4" t="n"/>
      <c r="E4" s="4" t="n"/>
      <c r="F4" s="4" t="n"/>
      <c r="G4" s="4" t="n"/>
      <c r="H4" s="4" t="n"/>
    </row>
    <row r="5" ht="8" customHeight="1">
      <c r="A5" s="5" t="n"/>
      <c r="B5" s="5" t="n"/>
      <c r="C5" s="5" t="n"/>
      <c r="D5" s="5" t="n"/>
      <c r="E5" s="5" t="n"/>
      <c r="F5" s="5" t="n"/>
      <c r="G5" s="5" t="n"/>
      <c r="H5" s="5" t="n"/>
    </row>
    <row r="6" ht="32" customHeight="1">
      <c r="B6" s="6" t="inlineStr">
        <is>
          <t xml:space="preserve">  ▼  HOLD  (-2% vs. base target)</t>
        </is>
      </c>
      <c r="D6" s="7" t="inlineStr">
        <is>
          <t>Price Target: USD 209.62   ·   Upside: -1.6%</t>
        </is>
      </c>
    </row>
    <row r="7" ht="2" customHeight="1">
      <c r="B7" s="8" t="n"/>
      <c r="C7" s="8" t="n"/>
      <c r="D7" s="8" t="n"/>
      <c r="E7" s="8" t="n"/>
      <c r="F7" s="8" t="n"/>
      <c r="G7" s="8" t="n"/>
    </row>
    <row r="8" ht="8" customHeight="1">
      <c r="A8" s="5" t="n"/>
      <c r="B8" s="5" t="n"/>
      <c r="C8" s="5" t="n"/>
      <c r="D8" s="5" t="n"/>
      <c r="E8" s="5" t="n"/>
      <c r="F8" s="5" t="n"/>
      <c r="G8" s="5" t="n"/>
      <c r="H8" s="5" t="n"/>
    </row>
    <row r="9" ht="14" customHeight="1">
      <c r="B9" s="9" t="inlineStr">
        <is>
          <t>METRIC</t>
        </is>
      </c>
      <c r="C9" s="9" t="inlineStr">
        <is>
          <t>VALUE</t>
        </is>
      </c>
      <c r="D9" s="10" t="n"/>
      <c r="E9" s="9" t="inlineStr">
        <is>
          <t>METRIC</t>
        </is>
      </c>
      <c r="F9" s="9" t="inlineStr">
        <is>
          <t>VALUE</t>
        </is>
      </c>
      <c r="G9" s="10" t="n"/>
    </row>
    <row r="10" ht="18" customHeight="1">
      <c r="B10" s="11" t="inlineStr">
        <is>
          <t>Current Price</t>
        </is>
      </c>
      <c r="C10" s="12" t="inlineStr">
        <is>
          <t>USD 213.00</t>
        </is>
      </c>
      <c r="D10" s="13" t="n"/>
      <c r="E10" s="11" t="inlineStr">
        <is>
          <t>Price Target</t>
        </is>
      </c>
      <c r="F10" s="14" t="inlineStr">
        <is>
          <t>USD 209.62</t>
        </is>
      </c>
      <c r="G10" s="13" t="n"/>
    </row>
    <row r="11" ht="18" customHeight="1">
      <c r="B11" s="11" t="inlineStr">
        <is>
          <t>Market Cap</t>
        </is>
      </c>
      <c r="C11" s="12" t="inlineStr">
        <is>
          <t>USD 3,240.0B</t>
        </is>
      </c>
      <c r="D11" s="13" t="n"/>
      <c r="E11" s="11" t="inlineStr">
        <is>
          <t>Enterprise Value</t>
        </is>
      </c>
      <c r="F11" s="14" t="inlineStr">
        <is>
          <t>USD 3,276.0B</t>
        </is>
      </c>
      <c r="G11" s="13" t="n"/>
    </row>
    <row r="12" ht="18" customHeight="1">
      <c r="B12" s="11" t="inlineStr">
        <is>
          <t>Revenue TTM</t>
        </is>
      </c>
      <c r="C12" s="12" t="inlineStr">
        <is>
          <t>USD 391.0B</t>
        </is>
      </c>
      <c r="D12" s="13" t="n"/>
      <c r="E12" s="11" t="inlineStr">
        <is>
          <t>EBITDA TTM</t>
        </is>
      </c>
      <c r="F12" s="14" t="inlineStr">
        <is>
          <t>USD 134.7B</t>
        </is>
      </c>
      <c r="G12" s="13" t="n"/>
    </row>
    <row r="13" ht="18" customHeight="1">
      <c r="B13" s="11" t="inlineStr">
        <is>
          <t>FCF TTM</t>
        </is>
      </c>
      <c r="C13" s="12" t="inlineStr">
        <is>
          <t>USD 108.8B</t>
        </is>
      </c>
      <c r="D13" s="13" t="n"/>
      <c r="E13" s="11" t="inlineStr">
        <is>
          <t>EV / EBITDA</t>
        </is>
      </c>
      <c r="F13" s="14" t="inlineStr">
        <is>
          <t>24.3x</t>
        </is>
      </c>
      <c r="G13" s="13" t="n"/>
    </row>
    <row r="14" ht="18" customHeight="1">
      <c r="B14" s="11" t="inlineStr">
        <is>
          <t>Upside / (Down)</t>
        </is>
      </c>
      <c r="C14" s="12" t="inlineStr">
        <is>
          <t>-1.6%</t>
        </is>
      </c>
      <c r="D14" s="13" t="n"/>
      <c r="E14" s="11" t="inlineStr">
        <is>
          <t>Composite Score</t>
        </is>
      </c>
      <c r="F14" s="14" t="inlineStr">
        <is>
          <t>36 / 100</t>
        </is>
      </c>
      <c r="G14" s="13" t="n"/>
    </row>
    <row r="15" ht="10" customHeight="1">
      <c r="A15" s="5" t="n"/>
      <c r="B15" s="5" t="n"/>
      <c r="C15" s="5" t="n"/>
      <c r="D15" s="5" t="n"/>
      <c r="E15" s="5" t="n"/>
      <c r="F15" s="5" t="n"/>
      <c r="G15" s="5" t="n"/>
      <c r="H15" s="5" t="n"/>
    </row>
    <row r="16" ht="12" customHeight="1">
      <c r="B16" s="15" t="inlineStr">
        <is>
          <t>SCORECARD  —  8 DIMENSIONS</t>
        </is>
      </c>
    </row>
    <row r="17" ht="20" customHeight="1">
      <c r="B17" s="16" t="inlineStr">
        <is>
          <t>DCF  0/10</t>
        </is>
      </c>
      <c r="C17" s="17" t="inlineStr">
        <is>
          <t>Comps  0/10</t>
        </is>
      </c>
      <c r="D17" s="16" t="inlineStr">
        <is>
          <t>Prec.  0/10</t>
        </is>
      </c>
      <c r="E17" s="17" t="inlineStr">
        <is>
          <t>LBO  0/10</t>
        </is>
      </c>
      <c r="F17" s="16" t="inlineStr">
        <is>
          <t>Growth  0/10</t>
        </is>
      </c>
      <c r="G17" s="17" t="inlineStr">
        <is>
          <t>Quality  0/10</t>
        </is>
      </c>
    </row>
    <row r="18" ht="10" customHeight="1">
      <c r="A18" s="5" t="n"/>
      <c r="B18" s="5" t="n"/>
      <c r="C18" s="5" t="n"/>
      <c r="D18" s="5" t="n"/>
      <c r="E18" s="5" t="n"/>
      <c r="F18" s="5" t="n"/>
      <c r="G18" s="5" t="n"/>
      <c r="H18" s="5" t="n"/>
    </row>
    <row r="19" ht="12" customHeight="1">
      <c r="B19" s="15" t="inlineStr">
        <is>
          <t>SHEET NAVIGATION</t>
        </is>
      </c>
    </row>
    <row r="20" ht="16" customHeight="1">
      <c r="B20" s="18" t="inlineStr">
        <is>
          <t>Valuation</t>
        </is>
      </c>
      <c r="C20" s="19" t="inlineStr">
        <is>
          <t>Scorecard · Price Target · Summary · DCF · Sensitivity</t>
        </is>
      </c>
    </row>
    <row r="21" ht="16" customHeight="1">
      <c r="B21" s="18" t="inlineStr">
        <is>
          <t>Comparables</t>
        </is>
      </c>
      <c r="C21" s="19" t="inlineStr">
        <is>
          <t>Comparable Cos · Precedent Txns · LBO</t>
        </is>
      </c>
    </row>
    <row r="22" ht="16" customHeight="1">
      <c r="B22" s="18" t="inlineStr">
        <is>
          <t>Financial Model</t>
        </is>
      </c>
      <c r="C22" s="19" t="inlineStr">
        <is>
          <t>3-Statement · Segment Build · Quarterly Model</t>
        </is>
      </c>
    </row>
    <row r="23" ht="16" customHeight="1">
      <c r="B23" s="18" t="inlineStr">
        <is>
          <t>Deep Analysis</t>
        </is>
      </c>
      <c r="C23" s="19" t="inlineStr">
        <is>
          <t>Quality of Earnings · Unit Economics · Capital Allocation</t>
        </is>
      </c>
    </row>
    <row r="24" ht="16" customHeight="1">
      <c r="B24" s="18" t="inlineStr">
        <is>
          <t>Risk &amp; Scenarios</t>
        </is>
      </c>
      <c r="C24" s="19" t="inlineStr">
        <is>
          <t>Monte Carlo · Fat-Tail MC · Regime · Sensitivity</t>
        </is>
      </c>
    </row>
    <row r="25" ht="16" customHeight="1">
      <c r="B25" s="18" t="inlineStr">
        <is>
          <t>Market Data</t>
        </is>
      </c>
      <c r="C25" s="19" t="inlineStr">
        <is>
          <t>Short Interest · Options IV · Insider Txns · Consensus</t>
        </is>
      </c>
    </row>
    <row r="26" ht="16" customHeight="1">
      <c r="B26" s="18" t="inlineStr">
        <is>
          <t>Institutional</t>
        </is>
      </c>
      <c r="C26" s="19" t="inlineStr">
        <is>
          <t>Mgmt Quality · Bear Thesis · ESG · Consensus Bridge</t>
        </is>
      </c>
    </row>
    <row r="27" ht="16" customHeight="1">
      <c r="B27" s="18" t="inlineStr">
        <is>
          <t>Reference</t>
        </is>
      </c>
      <c r="C27" s="19" t="inlineStr">
        <is>
          <t>Assumptions · Audit Log</t>
        </is>
      </c>
    </row>
    <row r="28" ht="6" customHeight="1">
      <c r="A28" s="5" t="n"/>
      <c r="B28" s="5" t="n"/>
      <c r="C28" s="5" t="n"/>
      <c r="D28" s="5" t="n"/>
      <c r="E28" s="5" t="n"/>
      <c r="F28" s="5" t="n"/>
      <c r="G28" s="5" t="n"/>
      <c r="H28" s="5" t="n"/>
    </row>
    <row r="29" ht="4" customHeight="1">
      <c r="A29" s="4" t="n"/>
      <c r="B29" s="4" t="n"/>
      <c r="C29" s="4" t="n"/>
      <c r="D29" s="4" t="n"/>
      <c r="E29" s="4" t="n"/>
      <c r="F29" s="4" t="n"/>
      <c r="G29" s="4" t="n"/>
      <c r="H29" s="4" t="n"/>
    </row>
    <row r="30" ht="14" customHeight="1">
      <c r="A30" s="20" t="inlineStr">
        <is>
          <t xml:space="preserve">  For professional and institutional use only  ·  Orcen Capital  ·  Not for distribution</t>
        </is>
      </c>
    </row>
    <row r="31"/>
    <row r="32"/>
    <row r="33"/>
    <row r="34"/>
    <row r="35"/>
    <row r="36"/>
    <row r="37"/>
    <row r="38"/>
    <row r="39"/>
    <row r="40"/>
    <row r="41"/>
    <row r="42"/>
    <row r="43"/>
    <row r="44"/>
    <row r="45"/>
    <row r="46"/>
    <row r="47"/>
    <row r="48"/>
    <row r="49"/>
    <row r="50"/>
  </sheetData>
  <mergeCells count="19">
    <mergeCell ref="A30:H30"/>
    <mergeCell ref="B9"/>
    <mergeCell ref="C24:G24"/>
    <mergeCell ref="F9"/>
    <mergeCell ref="C26:G26"/>
    <mergeCell ref="B19:G19"/>
    <mergeCell ref="C20:G20"/>
    <mergeCell ref="C25:G25"/>
    <mergeCell ref="C22:G22"/>
    <mergeCell ref="A3:H3"/>
    <mergeCell ref="C21:G21"/>
    <mergeCell ref="A2:H2"/>
    <mergeCell ref="D6:G6"/>
    <mergeCell ref="C27:G27"/>
    <mergeCell ref="C23:G23"/>
    <mergeCell ref="C9"/>
    <mergeCell ref="E9"/>
    <mergeCell ref="B6:C6"/>
    <mergeCell ref="B16:G16"/>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xml><?xml version="1.0" encoding="utf-8"?>
<worksheet xmlns="http://schemas.openxmlformats.org/spreadsheetml/2006/main">
  <sheetPr>
    <tabColor rgb="000071E3"/>
    <outlinePr summaryBelow="1" summaryRight="1"/>
    <pageSetUpPr fitToPage="1"/>
  </sheetPr>
  <dimension ref="A1:S75"/>
  <sheetViews>
    <sheetView showGridLines="0" workbookViewId="0">
      <pane ySplit="2" topLeftCell="A3" activePane="bottomLeft" state="frozen"/>
      <selection pane="bottomLeft" activeCell="A1" sqref="A1"/>
    </sheetView>
  </sheetViews>
  <sheetFormatPr baseColWidth="8" defaultRowHeight="15"/>
  <cols>
    <col width="6" customWidth="1" min="1" max="1"/>
    <col width="34" customWidth="1" min="2" max="2"/>
    <col width="64" customWidth="1" min="3" max="3"/>
  </cols>
  <sheetData>
    <row r="1" ht="32" customHeight="1">
      <c r="A1" s="21" t="inlineStr">
        <is>
          <t xml:space="preserve">  Table of Contents    |    66-Sheet Institutional Valuation Model — v14: Full Innovation Suite</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23" t="inlineStr">
        <is>
          <t>#</t>
        </is>
      </c>
      <c r="B3" s="23" t="inlineStr">
        <is>
          <t>Sheet</t>
        </is>
      </c>
      <c r="C3" s="23" t="inlineStr">
        <is>
          <t>Description</t>
        </is>
      </c>
    </row>
    <row r="4">
      <c r="A4" s="24" t="n">
        <v>1</v>
      </c>
      <c r="B4" s="25" t="inlineStr">
        <is>
          <t>Cover</t>
        </is>
      </c>
      <c r="C4" s="26" t="inlineStr">
        <is>
          <t>Company overview, verdict and key investment thesis</t>
        </is>
      </c>
    </row>
    <row r="5">
      <c r="A5" s="27" t="n">
        <v>2</v>
      </c>
      <c r="B5" s="28" t="inlineStr">
        <is>
          <t>Table of Contents</t>
        </is>
      </c>
      <c r="C5" s="29" t="inlineStr">
        <is>
          <t>Navigation index (this sheet)</t>
        </is>
      </c>
    </row>
    <row r="6">
      <c r="A6" s="24" t="n">
        <v>3</v>
      </c>
      <c r="B6" s="25" t="inlineStr">
        <is>
          <t>Scorecard</t>
        </is>
      </c>
      <c r="C6" s="26" t="inlineStr">
        <is>
          <t>Quantitative investment scorecard with radar chart</t>
        </is>
      </c>
    </row>
    <row r="7">
      <c r="A7" s="27" t="n">
        <v>4</v>
      </c>
      <c r="B7" s="28" t="inlineStr">
        <is>
          <t>Price Target</t>
        </is>
      </c>
      <c r="C7" s="29" t="inlineStr">
        <is>
          <t>Blended price target: DCF, comps, precedents, LBO</t>
        </is>
      </c>
    </row>
    <row r="8">
      <c r="A8" s="24" t="n">
        <v>5</v>
      </c>
      <c r="B8" s="25" t="inlineStr">
        <is>
          <t>Summary</t>
        </is>
      </c>
      <c r="C8" s="26" t="inlineStr">
        <is>
          <t>One-page executive summary across all methods</t>
        </is>
      </c>
    </row>
    <row r="9">
      <c r="A9" s="27" t="n">
        <v>6</v>
      </c>
      <c r="B9" s="28" t="inlineStr">
        <is>
          <t>EV Bridge</t>
        </is>
      </c>
      <c r="C9" s="29" t="inlineStr">
        <is>
          <t>Enterprise value to equity value bridge</t>
        </is>
      </c>
    </row>
    <row r="10">
      <c r="A10" s="24" t="n">
        <v>7</v>
      </c>
      <c r="B10" s="25" t="inlineStr">
        <is>
          <t>SOTP</t>
        </is>
      </c>
      <c r="C10" s="26" t="inlineStr">
        <is>
          <t>Sum-of-the-parts segment valuation</t>
        </is>
      </c>
    </row>
    <row r="11">
      <c r="A11" s="27" t="n">
        <v>8</v>
      </c>
      <c r="B11" s="28" t="inlineStr">
        <is>
          <t>Waterfall-Tornado</t>
        </is>
      </c>
      <c r="C11" s="29" t="inlineStr">
        <is>
          <t>Valuation waterfall and sensitivity tornado</t>
        </is>
      </c>
    </row>
    <row r="12">
      <c r="A12" s="24" t="n">
        <v>9</v>
      </c>
      <c r="B12" s="30" t="inlineStr">
        <is>
          <t>DCF Scenarios</t>
        </is>
      </c>
      <c r="C12" s="31" t="inlineStr">
        <is>
          <t>★ Live formulas — Bear/Base/Bull DCF projections</t>
        </is>
      </c>
    </row>
    <row r="13">
      <c r="A13" s="27" t="n">
        <v>10</v>
      </c>
      <c r="B13" s="32" t="inlineStr">
        <is>
          <t>Sensitivity</t>
        </is>
      </c>
      <c r="C13" s="33" t="inlineStr">
        <is>
          <t>★ Live NPV matrix — WACC × TGR heatmaps (3 matrices)</t>
        </is>
      </c>
    </row>
    <row r="14">
      <c r="A14" s="24" t="n">
        <v>11</v>
      </c>
      <c r="B14" s="25" t="inlineStr">
        <is>
          <t>Comparable Companies</t>
        </is>
      </c>
      <c r="C14" s="26" t="inlineStr">
        <is>
          <t>Peer trading multiples and applied valuation</t>
        </is>
      </c>
    </row>
    <row r="15">
      <c r="A15" s="27" t="n">
        <v>12</v>
      </c>
      <c r="B15" s="28" t="inlineStr">
        <is>
          <t>Precedent Transactions</t>
        </is>
      </c>
      <c r="C15" s="29" t="inlineStr">
        <is>
          <t>M&amp;A transaction comps and control premium analysis</t>
        </is>
      </c>
    </row>
    <row r="16">
      <c r="A16" s="24" t="n">
        <v>13</v>
      </c>
      <c r="B16" s="25" t="inlineStr">
        <is>
          <t>LBO Analysis</t>
        </is>
      </c>
      <c r="C16" s="26" t="inlineStr">
        <is>
          <t>Leveraged buyout model with returns analysis</t>
        </is>
      </c>
    </row>
    <row r="17">
      <c r="A17" s="27" t="n">
        <v>14</v>
      </c>
      <c r="B17" s="28" t="inlineStr">
        <is>
          <t>Quality of Earnings</t>
        </is>
      </c>
      <c r="C17" s="29" t="inlineStr">
        <is>
          <t>Earnings quality flags and accruals analysis</t>
        </is>
      </c>
    </row>
    <row r="18">
      <c r="A18" s="24" t="n">
        <v>15</v>
      </c>
      <c r="B18" s="25" t="inlineStr">
        <is>
          <t>Unit Economics</t>
        </is>
      </c>
      <c r="C18" s="26" t="inlineStr">
        <is>
          <t>CAC, LTV, payback period, Rule of 40</t>
        </is>
      </c>
    </row>
    <row r="19">
      <c r="A19" s="27" t="n">
        <v>16</v>
      </c>
      <c r="B19" s="28" t="inlineStr">
        <is>
          <t>Capital Allocation</t>
        </is>
      </c>
      <c r="C19" s="29" t="inlineStr">
        <is>
          <t>ROIC, buybacks, dividends, M&amp;A track record</t>
        </is>
      </c>
    </row>
    <row r="20">
      <c r="A20" s="24" t="n">
        <v>17</v>
      </c>
      <c r="B20" s="25" t="inlineStr">
        <is>
          <t>Deep Analysis</t>
        </is>
      </c>
      <c r="C20" s="26" t="inlineStr">
        <is>
          <t>Historical KPIs, DuPont, Altman Z, peer ranking</t>
        </is>
      </c>
    </row>
    <row r="21">
      <c r="A21" s="27" t="n">
        <v>18</v>
      </c>
      <c r="B21" s="28" t="inlineStr">
        <is>
          <t>Margin Bridge</t>
        </is>
      </c>
      <c r="C21" s="29" t="inlineStr">
        <is>
          <t>Gross → EBITDA margin walk</t>
        </is>
      </c>
    </row>
    <row r="22">
      <c r="A22" s="24" t="n">
        <v>19</v>
      </c>
      <c r="B22" s="25" t="inlineStr">
        <is>
          <t>Cash Flow Waterfall</t>
        </is>
      </c>
      <c r="C22" s="26" t="inlineStr">
        <is>
          <t>Operating → Free → Net cash flow waterfall</t>
        </is>
      </c>
    </row>
    <row r="23">
      <c r="A23" s="27" t="n">
        <v>20</v>
      </c>
      <c r="B23" s="28" t="inlineStr">
        <is>
          <t>Diluted Shares</t>
        </is>
      </c>
      <c r="C23" s="29" t="inlineStr">
        <is>
          <t>Share count, dilution, buyback analysis</t>
        </is>
      </c>
    </row>
    <row r="24">
      <c r="A24" s="24" t="n">
        <v>21</v>
      </c>
      <c r="B24" s="25" t="inlineStr">
        <is>
          <t>Debt Schedule</t>
        </is>
      </c>
      <c r="C24" s="26" t="inlineStr">
        <is>
          <t>Debt maturity profile and interest schedule</t>
        </is>
      </c>
    </row>
    <row r="25">
      <c r="A25" s="27" t="n">
        <v>22</v>
      </c>
      <c r="B25" s="28" t="inlineStr">
        <is>
          <t>IRR Table</t>
        </is>
      </c>
      <c r="C25" s="29" t="inlineStr">
        <is>
          <t>Returns sensitivity: entry multiple × exit multiple</t>
        </is>
      </c>
    </row>
    <row r="26">
      <c r="A26" s="24" t="n">
        <v>23</v>
      </c>
      <c r="B26" s="25" t="inlineStr">
        <is>
          <t>Pro-Forma Balance Sheet</t>
        </is>
      </c>
      <c r="C26" s="26" t="inlineStr">
        <is>
          <t>Post-deal balance sheet and credit metrics</t>
        </is>
      </c>
    </row>
    <row r="27">
      <c r="A27" s="27" t="n">
        <v>24</v>
      </c>
      <c r="B27" s="28" t="inlineStr">
        <is>
          <t>Acquisition Premium</t>
        </is>
      </c>
      <c r="C27" s="29" t="inlineStr">
        <is>
          <t>Premium analysis and accretion/dilution</t>
        </is>
      </c>
    </row>
    <row r="28">
      <c r="A28" s="24" t="n">
        <v>25</v>
      </c>
      <c r="B28" s="25" t="inlineStr">
        <is>
          <t>ESG Scorecard</t>
        </is>
      </c>
      <c r="C28" s="26" t="inlineStr">
        <is>
          <t>Environmental, social and governance scoring</t>
        </is>
      </c>
    </row>
    <row r="29">
      <c r="A29" s="27" t="n">
        <v>26</v>
      </c>
      <c r="B29" s="28" t="inlineStr">
        <is>
          <t>Risk Register</t>
        </is>
      </c>
      <c r="C29" s="29" t="inlineStr">
        <is>
          <t>Key risk factors, probability and impact matrix</t>
        </is>
      </c>
    </row>
    <row r="30">
      <c r="A30" s="24" t="n">
        <v>27</v>
      </c>
      <c r="B30" s="25" t="inlineStr">
        <is>
          <t>Ownership Structure</t>
        </is>
      </c>
      <c r="C30" s="26" t="inlineStr">
        <is>
          <t>Institutional/insider ownership breakdown</t>
        </is>
      </c>
    </row>
    <row r="31">
      <c r="A31" s="27" t="n">
        <v>28</v>
      </c>
      <c r="B31" s="32" t="inlineStr">
        <is>
          <t>Assumptions</t>
        </is>
      </c>
      <c r="C31" s="33" t="inlineStr">
        <is>
          <t>★ CONTROL HUB — edit yellow cells to recalculate model</t>
        </is>
      </c>
    </row>
    <row r="32">
      <c r="A32" s="24" t="n">
        <v>29</v>
      </c>
      <c r="B32" s="25" t="inlineStr">
        <is>
          <t>Football Field</t>
        </is>
      </c>
      <c r="C32" s="26" t="inlineStr">
        <is>
          <t>Valuation range chart across all methods</t>
        </is>
      </c>
    </row>
    <row r="33">
      <c r="A33" s="27" t="n">
        <v>30</v>
      </c>
      <c r="B33" s="28" t="inlineStr">
        <is>
          <t>3-Statement Model</t>
        </is>
      </c>
      <c r="C33" s="29" t="inlineStr">
        <is>
          <t>Integrated income statement / balance sheet / cash flow</t>
        </is>
      </c>
    </row>
    <row r="34">
      <c r="A34" s="24" t="n">
        <v>31</v>
      </c>
      <c r="B34" s="25" t="inlineStr">
        <is>
          <t>Monte Carlo Output</t>
        </is>
      </c>
      <c r="C34" s="26" t="inlineStr">
        <is>
          <t>10,000 simulation distribution of equity value</t>
        </is>
      </c>
    </row>
    <row r="35">
      <c r="A35" s="27" t="n">
        <v>32</v>
      </c>
      <c r="B35" s="28" t="inlineStr">
        <is>
          <t>Revenue Build</t>
        </is>
      </c>
      <c r="C35" s="29" t="inlineStr">
        <is>
          <t>Segment-level revenue build-up</t>
        </is>
      </c>
    </row>
    <row r="36">
      <c r="A36" s="24" t="n">
        <v>33</v>
      </c>
      <c r="B36" s="25" t="inlineStr">
        <is>
          <t>Historical Trading Chart</t>
        </is>
      </c>
      <c r="C36" s="26" t="inlineStr">
        <is>
          <t>5-year price &amp; fundamental history</t>
        </is>
      </c>
    </row>
    <row r="37">
      <c r="A37" s="27" t="n">
        <v>34</v>
      </c>
      <c r="B37" s="28" t="inlineStr">
        <is>
          <t>Dividend Discount Model</t>
        </is>
      </c>
      <c r="C37" s="29" t="inlineStr">
        <is>
          <t>Dividend discount model (Gordon Growth + 2-stage)</t>
        </is>
      </c>
    </row>
    <row r="38">
      <c r="A38" s="24" t="n">
        <v>35</v>
      </c>
      <c r="B38" s="25" t="inlineStr">
        <is>
          <t>Working Capital Schedule</t>
        </is>
      </c>
      <c r="C38" s="26" t="inlineStr">
        <is>
          <t>AR / inventory / AP days and cash conversion cycle</t>
        </is>
      </c>
    </row>
    <row r="39">
      <c r="A39" s="27" t="n">
        <v>36</v>
      </c>
      <c r="B39" s="28" t="inlineStr">
        <is>
          <t>Historical Multiples</t>
        </is>
      </c>
      <c r="C39" s="29" t="inlineStr">
        <is>
          <t>EV/EBITDA and P/E multiple history vs peers</t>
        </is>
      </c>
    </row>
    <row r="40">
      <c r="A40" s="24" t="n">
        <v>37</v>
      </c>
      <c r="B40" s="25" t="inlineStr">
        <is>
          <t>SaaS Metrics Dashboard</t>
        </is>
      </c>
      <c r="C40" s="26" t="inlineStr">
        <is>
          <t>ARR, NRR, cohort retention (for SaaS companies)</t>
        </is>
      </c>
    </row>
    <row r="41">
      <c r="A41" s="27" t="n">
        <v>38</v>
      </c>
      <c r="B41" s="28" t="inlineStr">
        <is>
          <t>Macro Sensitivity</t>
        </is>
      </c>
      <c r="C41" s="29" t="inlineStr">
        <is>
          <t>Interest rate, GDP and FX scenario analysis</t>
        </is>
      </c>
    </row>
    <row r="42">
      <c r="A42" s="24" t="n">
        <v>39</v>
      </c>
      <c r="B42" s="25" t="inlineStr">
        <is>
          <t>Segment Analysis</t>
        </is>
      </c>
      <c r="C42" s="26" t="inlineStr">
        <is>
          <t>Revenue by product and geography</t>
        </is>
      </c>
    </row>
    <row r="43">
      <c r="A43" s="27" t="n">
        <v>40</v>
      </c>
      <c r="B43" s="28" t="inlineStr">
        <is>
          <t>PP&amp;E Schedule</t>
        </is>
      </c>
      <c r="C43" s="29" t="inlineStr">
        <is>
          <t>Fixed asset roll-forward and depreciation</t>
        </is>
      </c>
    </row>
    <row r="44">
      <c r="A44" s="24" t="n">
        <v>41</v>
      </c>
      <c r="B44" s="25" t="inlineStr">
        <is>
          <t>Insider Transactions</t>
        </is>
      </c>
      <c r="C44" s="26" t="inlineStr">
        <is>
          <t>Form 4 insider buying/selling signals</t>
        </is>
      </c>
    </row>
    <row r="45">
      <c r="A45" s="27" t="n">
        <v>42</v>
      </c>
      <c r="B45" s="28" t="inlineStr">
        <is>
          <t>Short Interest</t>
        </is>
      </c>
      <c r="C45" s="29" t="inlineStr">
        <is>
          <t>Short interest, days-to-cover and signal</t>
        </is>
      </c>
    </row>
    <row r="46">
      <c r="A46" s="24" t="n">
        <v>43</v>
      </c>
      <c r="B46" s="25" t="inlineStr">
        <is>
          <t>Options &amp; Implied Volatility</t>
        </is>
      </c>
      <c r="C46" s="26" t="inlineStr">
        <is>
          <t>Implied volatility term structure and expected move</t>
        </is>
      </c>
    </row>
    <row r="47">
      <c r="A47" s="27" t="n">
        <v>44</v>
      </c>
      <c r="B47" s="28" t="inlineStr">
        <is>
          <t>NAV Analysis</t>
        </is>
      </c>
      <c r="C47" s="29" t="inlineStr">
        <is>
          <t>Net asset value floors: book / liquidation / GC</t>
        </is>
      </c>
    </row>
    <row r="48">
      <c r="A48" s="24" t="n">
        <v>45</v>
      </c>
      <c r="B48" s="25" t="inlineStr">
        <is>
          <t>Executive Compensation</t>
        </is>
      </c>
      <c r="C48" s="26" t="inlineStr">
        <is>
          <t>CEO pay, pay ratio, pay-for-performance</t>
        </is>
      </c>
    </row>
    <row r="49">
      <c r="A49" s="27" t="n">
        <v>46</v>
      </c>
      <c r="B49" s="32" t="inlineStr">
        <is>
          <t>Credit Analysis</t>
        </is>
      </c>
      <c r="C49" s="33" t="inlineStr">
        <is>
          <t>★ Live formulas — leverage, coverage, covenants</t>
        </is>
      </c>
    </row>
    <row r="50">
      <c r="A50" s="24" t="n">
        <v>47</v>
      </c>
      <c r="B50" s="30" t="inlineStr">
        <is>
          <t>Quarterly Model</t>
        </is>
      </c>
      <c r="C50" s="31" t="inlineStr">
        <is>
          <t>★ Live formulas — 8-quarter P&amp;L projections</t>
        </is>
      </c>
    </row>
    <row r="51">
      <c r="A51" s="27" t="n">
        <v>48</v>
      </c>
      <c r="B51" s="28" t="inlineStr">
        <is>
          <t>Consensus Estimates</t>
        </is>
      </c>
      <c r="C51" s="29" t="inlineStr">
        <is>
          <t>Forward sell-side estimates, earnings surprises</t>
        </is>
      </c>
    </row>
    <row r="52">
      <c r="A52" s="24" t="n">
        <v>49</v>
      </c>
      <c r="B52" s="25" t="inlineStr">
        <is>
          <t>VBA Macro Guide</t>
        </is>
      </c>
      <c r="C52" s="26" t="inlineStr">
        <is>
          <t>Install ScenarioMacros.bas for Bear/Base/Bull toggle</t>
        </is>
      </c>
    </row>
    <row r="53">
      <c r="A53" s="27" t="n">
        <v>50</v>
      </c>
      <c r="B53" s="28" t="inlineStr">
        <is>
          <t>Segment Revenue Build</t>
        </is>
      </c>
      <c r="C53" s="29" t="inlineStr">
        <is>
          <t>Bottom-up P×V model, geographic split, EBIT by segment</t>
        </is>
      </c>
    </row>
    <row r="54">
      <c r="A54" s="24" t="n">
        <v>51</v>
      </c>
      <c r="B54" s="30" t="inlineStr">
        <is>
          <t>Drift Monitor</t>
        </is>
      </c>
      <c r="C54" s="31" t="inlineStr">
        <is>
          <t>★ INNOVATION — Real-time assumption drift alerts</t>
        </is>
      </c>
    </row>
    <row r="55">
      <c r="A55" s="27" t="n">
        <v>52</v>
      </c>
      <c r="B55" s="32" t="inlineStr">
        <is>
          <t>Credit-Equity Gap</t>
        </is>
      </c>
      <c r="C55" s="33" t="inlineStr">
        <is>
          <t>★ INNOVATION — Equity vs credit market consistency check</t>
        </is>
      </c>
    </row>
    <row r="56">
      <c r="A56" s="24" t="n">
        <v>53</v>
      </c>
      <c r="B56" s="30" t="inlineStr">
        <is>
          <t>Backtest</t>
        </is>
      </c>
      <c r="C56" s="31" t="inlineStr">
        <is>
          <t>★ INNOVATION — Counterfactual accuracy on 15 historical cos</t>
        </is>
      </c>
    </row>
    <row r="57">
      <c r="A57" s="27" t="n">
        <v>54</v>
      </c>
      <c r="B57" s="32" t="inlineStr">
        <is>
          <t>NL Editor</t>
        </is>
      </c>
      <c r="C57" s="33" t="inlineStr">
        <is>
          <t>★ INNOVATION — Natural language → assumption translator</t>
        </is>
      </c>
    </row>
    <row r="58">
      <c r="A58" s="24" t="n">
        <v>55</v>
      </c>
      <c r="B58" s="30" t="inlineStr">
        <is>
          <t>Thesis Checker</t>
        </is>
      </c>
      <c r="C58" s="31" t="inlineStr">
        <is>
          <t>★ INNOVATION — Narrative vs quant contradiction detector</t>
        </is>
      </c>
    </row>
    <row r="59">
      <c r="A59" s="27" t="n">
        <v>56</v>
      </c>
      <c r="B59" s="32" t="inlineStr">
        <is>
          <t>Cross-Co Interactions</t>
        </is>
      </c>
      <c r="C59" s="33" t="inlineStr">
        <is>
          <t>★ INNOVATION — Supplier/customer/competitor interaction map</t>
        </is>
      </c>
    </row>
    <row r="60">
      <c r="A60" s="24" t="n">
        <v>57</v>
      </c>
      <c r="B60" s="30" t="inlineStr">
        <is>
          <t>Options Overlay</t>
        </is>
      </c>
      <c r="C60" s="31" t="inlineStr">
        <is>
          <t>★ INNOVATION — Options-implied probability distribution</t>
        </is>
      </c>
    </row>
    <row r="61">
      <c r="A61" s="27" t="n">
        <v>58</v>
      </c>
      <c r="B61" s="32" t="inlineStr">
        <is>
          <t>Regime Scenarios</t>
        </is>
      </c>
      <c r="C61" s="33" t="inlineStr">
        <is>
          <t>★ INNOVATION — Structural break / regime change modeling</t>
        </is>
      </c>
    </row>
    <row r="62">
      <c r="A62" s="24" t="n">
        <v>59</v>
      </c>
      <c r="B62" s="30" t="inlineStr">
        <is>
          <t>Platform Value</t>
        </is>
      </c>
      <c r="C62" s="31" t="inlineStr">
        <is>
          <t>★ INNOVATION — Metcalfe / take-rate / winner-take-all DCF</t>
        </is>
      </c>
    </row>
    <row r="63">
      <c r="A63" s="27" t="n">
        <v>60</v>
      </c>
      <c r="B63" s="32" t="inlineStr">
        <is>
          <t>Fat-Tail MC</t>
        </is>
      </c>
      <c r="C63" s="33" t="inlineStr">
        <is>
          <t>★ INNOVATION — Student-t two-regime Monte Carlo (fat tails)</t>
        </is>
      </c>
    </row>
    <row r="64">
      <c r="A64" s="24" t="n">
        <v>61</v>
      </c>
      <c r="B64" s="30" t="inlineStr">
        <is>
          <t>Analog Matcher</t>
        </is>
      </c>
      <c r="C64" s="31" t="inlineStr">
        <is>
          <t>★ INNOVATION — Historical analog pattern matching</t>
        </is>
      </c>
    </row>
    <row r="65">
      <c r="A65" s="27" t="n">
        <v>62</v>
      </c>
      <c r="B65" s="32" t="inlineStr">
        <is>
          <t>Earnings NLP</t>
        </is>
      </c>
      <c r="C65" s="33" t="inlineStr">
        <is>
          <t>★ INNOVATION — 8-K earnings call NLP sentiment + guidance</t>
        </is>
      </c>
    </row>
    <row r="66">
      <c r="A66" s="24" t="n">
        <v>63</v>
      </c>
      <c r="B66" s="30" t="inlineStr">
        <is>
          <t>Alt Data</t>
        </is>
      </c>
      <c r="C66" s="31" t="inlineStr">
        <is>
          <t>★ INNOVATION — Wikipedia / GitHub / news signal aggregator</t>
        </is>
      </c>
    </row>
    <row r="67">
      <c r="A67" s="27" t="n">
        <v>64</v>
      </c>
      <c r="B67" s="28" t="inlineStr">
        <is>
          <t>Guidance Tracker</t>
        </is>
      </c>
      <c r="C67" s="29" t="inlineStr">
        <is>
          <t>Mgmt guidance vs model vs consensus, catalyst calendar</t>
        </is>
      </c>
    </row>
    <row r="68">
      <c r="A68" s="24" t="n">
        <v>65</v>
      </c>
      <c r="B68" s="25" t="inlineStr">
        <is>
          <t>Capital Structure</t>
        </is>
      </c>
      <c r="C68" s="26" t="inlineStr">
        <is>
          <t>Leverage vs WACC curve, optimal structure, EV sensitivity</t>
        </is>
      </c>
    </row>
    <row r="69">
      <c r="A69" s="27" t="n">
        <v>66</v>
      </c>
      <c r="B69" s="32" t="inlineStr">
        <is>
          <t>Model Audit &amp; Governance</t>
        </is>
      </c>
      <c r="C69" s="33" t="inlineStr">
        <is>
          <t>★ Internal — metadata, assumption audit, health checks</t>
        </is>
      </c>
    </row>
    <row r="72" ht="70" customHeight="1">
      <c r="A72" s="34" t="inlineStr">
        <is>
          <t xml:space="preserve">  v11 LIVE FORMULA ENGINE + AUDIT &amp; GOVERNANCE
  ★ Assumptions sheet → edit yellow cells → DCF, Sensitivity &amp; Credit recalculate automatically
  ★ Named ranges: WACC, TGR, EBITMargin, BaseRevenue, etc. — visible in Excel Name Box
  ★ Scenario toggle: set Assumptions!B16 = Base / Bear / Bull
  ★ Data validation: dropdowns on scenario selector and key input cells</t>
        </is>
      </c>
    </row>
    <row r="73"/>
    <row r="74"/>
    <row r="75"/>
  </sheetData>
  <mergeCells count="2">
    <mergeCell ref="A1:L1"/>
    <mergeCell ref="A72:C75"/>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 xmlns:r="http://schemas.openxmlformats.org/officeDocument/2006/relationships" ref="B4" r:id="rId11"/>
    <hyperlink xmlns:r="http://schemas.openxmlformats.org/officeDocument/2006/relationships" ref="B5" r:id="rId12"/>
    <hyperlink xmlns:r="http://schemas.openxmlformats.org/officeDocument/2006/relationships" ref="B6" r:id="rId13"/>
    <hyperlink xmlns:r="http://schemas.openxmlformats.org/officeDocument/2006/relationships" ref="B7" r:id="rId14"/>
    <hyperlink xmlns:r="http://schemas.openxmlformats.org/officeDocument/2006/relationships" ref="B8" r:id="rId15"/>
    <hyperlink xmlns:r="http://schemas.openxmlformats.org/officeDocument/2006/relationships" ref="B9" r:id="rId16"/>
    <hyperlink xmlns:r="http://schemas.openxmlformats.org/officeDocument/2006/relationships" ref="B10" r:id="rId17"/>
    <hyperlink xmlns:r="http://schemas.openxmlformats.org/officeDocument/2006/relationships" ref="B11" r:id="rId18"/>
    <hyperlink xmlns:r="http://schemas.openxmlformats.org/officeDocument/2006/relationships" ref="B12" r:id="rId19"/>
    <hyperlink xmlns:r="http://schemas.openxmlformats.org/officeDocument/2006/relationships" ref="B13" r:id="rId20"/>
    <hyperlink xmlns:r="http://schemas.openxmlformats.org/officeDocument/2006/relationships" ref="B14" r:id="rId21"/>
    <hyperlink xmlns:r="http://schemas.openxmlformats.org/officeDocument/2006/relationships" ref="B15" r:id="rId22"/>
    <hyperlink xmlns:r="http://schemas.openxmlformats.org/officeDocument/2006/relationships" ref="B16" r:id="rId23"/>
    <hyperlink xmlns:r="http://schemas.openxmlformats.org/officeDocument/2006/relationships" ref="B17" r:id="rId24"/>
    <hyperlink xmlns:r="http://schemas.openxmlformats.org/officeDocument/2006/relationships" ref="B18" r:id="rId25"/>
    <hyperlink xmlns:r="http://schemas.openxmlformats.org/officeDocument/2006/relationships" ref="B19" r:id="rId26"/>
    <hyperlink xmlns:r="http://schemas.openxmlformats.org/officeDocument/2006/relationships" ref="B20" r:id="rId27"/>
    <hyperlink xmlns:r="http://schemas.openxmlformats.org/officeDocument/2006/relationships" ref="B21" r:id="rId28"/>
    <hyperlink xmlns:r="http://schemas.openxmlformats.org/officeDocument/2006/relationships" ref="B22" r:id="rId29"/>
    <hyperlink xmlns:r="http://schemas.openxmlformats.org/officeDocument/2006/relationships" ref="B23" r:id="rId30"/>
    <hyperlink xmlns:r="http://schemas.openxmlformats.org/officeDocument/2006/relationships" ref="B24" r:id="rId31"/>
    <hyperlink xmlns:r="http://schemas.openxmlformats.org/officeDocument/2006/relationships" ref="B25" r:id="rId32"/>
    <hyperlink xmlns:r="http://schemas.openxmlformats.org/officeDocument/2006/relationships" ref="B26" r:id="rId33"/>
    <hyperlink xmlns:r="http://schemas.openxmlformats.org/officeDocument/2006/relationships" ref="B27" r:id="rId34"/>
    <hyperlink xmlns:r="http://schemas.openxmlformats.org/officeDocument/2006/relationships" ref="B28" r:id="rId35"/>
    <hyperlink xmlns:r="http://schemas.openxmlformats.org/officeDocument/2006/relationships" ref="B29" r:id="rId36"/>
    <hyperlink xmlns:r="http://schemas.openxmlformats.org/officeDocument/2006/relationships" ref="B30" r:id="rId37"/>
    <hyperlink xmlns:r="http://schemas.openxmlformats.org/officeDocument/2006/relationships" ref="B31" r:id="rId38"/>
    <hyperlink xmlns:r="http://schemas.openxmlformats.org/officeDocument/2006/relationships" ref="B32" r:id="rId39"/>
    <hyperlink xmlns:r="http://schemas.openxmlformats.org/officeDocument/2006/relationships" ref="B33" r:id="rId40"/>
    <hyperlink xmlns:r="http://schemas.openxmlformats.org/officeDocument/2006/relationships" ref="B34" r:id="rId41"/>
    <hyperlink xmlns:r="http://schemas.openxmlformats.org/officeDocument/2006/relationships" ref="B35" r:id="rId42"/>
    <hyperlink xmlns:r="http://schemas.openxmlformats.org/officeDocument/2006/relationships" ref="B36" r:id="rId43"/>
    <hyperlink xmlns:r="http://schemas.openxmlformats.org/officeDocument/2006/relationships" ref="B37" r:id="rId44"/>
    <hyperlink xmlns:r="http://schemas.openxmlformats.org/officeDocument/2006/relationships" ref="B38" r:id="rId45"/>
    <hyperlink xmlns:r="http://schemas.openxmlformats.org/officeDocument/2006/relationships" ref="B39" r:id="rId46"/>
    <hyperlink xmlns:r="http://schemas.openxmlformats.org/officeDocument/2006/relationships" ref="B40" r:id="rId47"/>
    <hyperlink xmlns:r="http://schemas.openxmlformats.org/officeDocument/2006/relationships" ref="B41" r:id="rId48"/>
    <hyperlink xmlns:r="http://schemas.openxmlformats.org/officeDocument/2006/relationships" ref="B42" r:id="rId49"/>
    <hyperlink xmlns:r="http://schemas.openxmlformats.org/officeDocument/2006/relationships" ref="B43" r:id="rId50"/>
    <hyperlink xmlns:r="http://schemas.openxmlformats.org/officeDocument/2006/relationships" ref="B44" r:id="rId51"/>
    <hyperlink xmlns:r="http://schemas.openxmlformats.org/officeDocument/2006/relationships" ref="B45" r:id="rId52"/>
    <hyperlink xmlns:r="http://schemas.openxmlformats.org/officeDocument/2006/relationships" ref="B46" r:id="rId53"/>
    <hyperlink xmlns:r="http://schemas.openxmlformats.org/officeDocument/2006/relationships" ref="B47" r:id="rId54"/>
    <hyperlink xmlns:r="http://schemas.openxmlformats.org/officeDocument/2006/relationships" ref="B48" r:id="rId55"/>
    <hyperlink xmlns:r="http://schemas.openxmlformats.org/officeDocument/2006/relationships" ref="B49" r:id="rId56"/>
    <hyperlink xmlns:r="http://schemas.openxmlformats.org/officeDocument/2006/relationships" ref="B50" r:id="rId57"/>
    <hyperlink xmlns:r="http://schemas.openxmlformats.org/officeDocument/2006/relationships" ref="B51" r:id="rId58"/>
    <hyperlink xmlns:r="http://schemas.openxmlformats.org/officeDocument/2006/relationships" ref="B52" r:id="rId59"/>
    <hyperlink xmlns:r="http://schemas.openxmlformats.org/officeDocument/2006/relationships" ref="B53" r:id="rId60"/>
    <hyperlink xmlns:r="http://schemas.openxmlformats.org/officeDocument/2006/relationships" ref="B54" r:id="rId61"/>
    <hyperlink xmlns:r="http://schemas.openxmlformats.org/officeDocument/2006/relationships" ref="B55" r:id="rId62"/>
    <hyperlink xmlns:r="http://schemas.openxmlformats.org/officeDocument/2006/relationships" ref="B56" r:id="rId63"/>
    <hyperlink xmlns:r="http://schemas.openxmlformats.org/officeDocument/2006/relationships" ref="B57" r:id="rId64"/>
    <hyperlink xmlns:r="http://schemas.openxmlformats.org/officeDocument/2006/relationships" ref="B58" r:id="rId65"/>
    <hyperlink xmlns:r="http://schemas.openxmlformats.org/officeDocument/2006/relationships" ref="B59" r:id="rId66"/>
    <hyperlink xmlns:r="http://schemas.openxmlformats.org/officeDocument/2006/relationships" ref="B60" r:id="rId67"/>
    <hyperlink xmlns:r="http://schemas.openxmlformats.org/officeDocument/2006/relationships" ref="B61" r:id="rId68"/>
    <hyperlink xmlns:r="http://schemas.openxmlformats.org/officeDocument/2006/relationships" ref="B62" r:id="rId69"/>
    <hyperlink xmlns:r="http://schemas.openxmlformats.org/officeDocument/2006/relationships" ref="B63" r:id="rId70"/>
    <hyperlink xmlns:r="http://schemas.openxmlformats.org/officeDocument/2006/relationships" ref="B64" r:id="rId71"/>
    <hyperlink xmlns:r="http://schemas.openxmlformats.org/officeDocument/2006/relationships" ref="B65" r:id="rId72"/>
    <hyperlink xmlns:r="http://schemas.openxmlformats.org/officeDocument/2006/relationships" ref="B66" r:id="rId73"/>
    <hyperlink xmlns:r="http://schemas.openxmlformats.org/officeDocument/2006/relationships" ref="B67" r:id="rId74"/>
    <hyperlink xmlns:r="http://schemas.openxmlformats.org/officeDocument/2006/relationships" ref="B68" r:id="rId75"/>
    <hyperlink xmlns:r="http://schemas.openxmlformats.org/officeDocument/2006/relationships" ref="B69" r:id="rId76"/>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3.xml><?xml version="1.0" encoding="utf-8"?>
<worksheet xmlns="http://schemas.openxmlformats.org/spreadsheetml/2006/main">
  <sheetPr>
    <tabColor rgb="000071E3"/>
    <outlinePr summaryBelow="1" summaryRight="1"/>
    <pageSetUpPr fitToPage="1"/>
  </sheetPr>
  <dimension ref="A1:O51"/>
  <sheetViews>
    <sheetView workbookViewId="0">
      <pane ySplit="4" topLeftCell="A5" activePane="bottomLeft" state="frozen"/>
      <selection pane="bottomLeft" activeCell="A1" sqref="A1"/>
    </sheetView>
  </sheetViews>
  <sheetFormatPr baseColWidth="8" defaultRowHeight="15"/>
  <cols>
    <col width="1.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s>
  <sheetData>
    <row r="1" ht="8" customHeight="1"/>
    <row r="2" ht="36" customHeight="1">
      <c r="B2" s="35" t="inlineStr">
        <is>
          <t xml:space="preserve">  APPLE INC.  (AAPL)  ·  EXECUTIVE DASHBOARD</t>
        </is>
      </c>
    </row>
    <row r="3" ht="18" customHeight="1">
      <c r="B3" s="36" t="inlineStr">
        <is>
          <t xml:space="preserve">  Consumer electronics, software, and services ecosystem</t>
        </is>
      </c>
      <c r="G3" s="37" t="inlineStr">
        <is>
          <t xml:space="preserve">  July 11, 2026</t>
        </is>
      </c>
    </row>
    <row r="4" ht="4" customHeight="1">
      <c r="B4" s="4" t="n"/>
      <c r="C4" s="4" t="n"/>
      <c r="D4" s="4" t="n"/>
      <c r="E4" s="4" t="n"/>
      <c r="F4" s="4" t="n"/>
      <c r="G4" s="4" t="n"/>
      <c r="H4" s="4" t="n"/>
      <c r="I4" s="4" t="n"/>
    </row>
    <row r="5" ht="6" customHeight="1"/>
    <row r="6" ht="28" customHeight="1">
      <c r="B6" s="38" t="inlineStr">
        <is>
          <t>CURRENT PRICE</t>
        </is>
      </c>
      <c r="C6" s="39" t="n"/>
      <c r="D6" s="38" t="inlineStr">
        <is>
          <t>PRICE TARGET</t>
        </is>
      </c>
      <c r="E6" s="39" t="n"/>
      <c r="F6" s="38" t="inlineStr">
        <is>
          <t>UPSIDE / (DOWN)</t>
        </is>
      </c>
      <c r="G6" s="39" t="n"/>
      <c r="H6" s="38" t="inlineStr">
        <is>
          <t>MARKET CAP</t>
        </is>
      </c>
      <c r="I6" s="39" t="n"/>
    </row>
    <row r="7" ht="22" customHeight="1">
      <c r="B7" s="40" t="inlineStr">
        <is>
          <t>USD 213.00</t>
        </is>
      </c>
      <c r="C7" s="41" t="n"/>
      <c r="D7" s="42" t="inlineStr">
        <is>
          <t>USD 209.62</t>
        </is>
      </c>
      <c r="E7" s="41" t="n"/>
      <c r="F7" s="43" t="inlineStr">
        <is>
          <t>-1.6%</t>
        </is>
      </c>
      <c r="G7" s="41" t="n"/>
      <c r="H7" s="40" t="inlineStr">
        <is>
          <t>USD 3.24T</t>
        </is>
      </c>
      <c r="I7" s="41" t="n"/>
    </row>
    <row r="8" ht="6" customHeight="1"/>
    <row r="9" ht="8" customHeight="1"/>
    <row r="10" ht="20" customHeight="1">
      <c r="B10" s="44" t="inlineStr">
        <is>
          <t xml:space="preserve">  HOLD  (-2% vs. base target)</t>
        </is>
      </c>
      <c r="D10" s="45" t="inlineStr">
        <is>
          <t>Score: 36 / 100</t>
        </is>
      </c>
      <c r="F10" s="46" t="inlineStr">
        <is>
          <t>MC: USD3.24T  |  EV: USD3.28T  |  ROIC: 56.2%  |  FCF Margin: 27.8%  |  Gross Margin: 46.2%</t>
        </is>
      </c>
    </row>
    <row r="11" ht="14" customHeight="1"/>
    <row r="12" ht="8" customHeight="1"/>
    <row r="13" ht="8" customHeight="1">
      <c r="B13" s="47" t="inlineStr">
        <is>
          <t xml:space="preserve">  KEY METRICS</t>
        </is>
      </c>
    </row>
    <row r="14" ht="16" customHeight="1">
      <c r="B14" s="48" t="inlineStr">
        <is>
          <t>Revenue</t>
        </is>
      </c>
      <c r="C14" s="49" t="inlineStr">
        <is>
          <t>USD 391.0B</t>
        </is>
      </c>
      <c r="E14" s="50" t="n"/>
      <c r="F14" s="48" t="inlineStr">
        <is>
          <t>EV / EBITDA</t>
        </is>
      </c>
      <c r="G14" s="51" t="inlineStr">
        <is>
          <t>24.3x</t>
        </is>
      </c>
    </row>
    <row r="15" ht="16" customHeight="1">
      <c r="B15" s="19" t="inlineStr">
        <is>
          <t>EBITDA</t>
        </is>
      </c>
      <c r="C15" s="52" t="inlineStr">
        <is>
          <t>USD 134.7B</t>
        </is>
      </c>
      <c r="E15" s="53" t="n"/>
      <c r="F15" s="19" t="inlineStr">
        <is>
          <t>P / E</t>
        </is>
      </c>
      <c r="G15" s="54" t="inlineStr">
        <is>
          <t>34.6x</t>
        </is>
      </c>
    </row>
    <row r="16" ht="16" customHeight="1">
      <c r="B16" s="48" t="inlineStr">
        <is>
          <t>Net Income</t>
        </is>
      </c>
      <c r="C16" s="49" t="inlineStr">
        <is>
          <t>USD 93.7B</t>
        </is>
      </c>
      <c r="E16" s="50" t="n"/>
      <c r="F16" s="48" t="inlineStr">
        <is>
          <t>EV / Revenue</t>
        </is>
      </c>
      <c r="G16" s="51" t="inlineStr">
        <is>
          <t>8.4x</t>
        </is>
      </c>
    </row>
    <row r="17" ht="16" customHeight="1">
      <c r="B17" s="19" t="inlineStr">
        <is>
          <t>Free Cash Flow</t>
        </is>
      </c>
      <c r="C17" s="52" t="inlineStr">
        <is>
          <t>USD 108.8B</t>
        </is>
      </c>
      <c r="E17" s="53" t="n"/>
      <c r="F17" s="19" t="inlineStr">
        <is>
          <t>Debt / Equity</t>
        </is>
      </c>
      <c r="G17" s="54" t="inlineStr">
        <is>
          <t>1.78x</t>
        </is>
      </c>
    </row>
    <row r="18" ht="16" customHeight="1">
      <c r="B18" s="48" t="inlineStr">
        <is>
          <t>EBIT Margin</t>
        </is>
      </c>
      <c r="C18" s="49" t="inlineStr">
        <is>
          <t>31.5%</t>
        </is>
      </c>
      <c r="E18" s="50" t="n"/>
      <c r="F18" s="48" t="inlineStr">
        <is>
          <t>Beta</t>
        </is>
      </c>
      <c r="G18" s="51" t="inlineStr">
        <is>
          <t>1.24</t>
        </is>
      </c>
    </row>
    <row r="19" ht="16" customHeight="1">
      <c r="B19" s="19" t="inlineStr">
        <is>
          <t>Revenue Growth</t>
        </is>
      </c>
      <c r="C19" s="52" t="inlineStr">
        <is>
          <t>2.0%</t>
        </is>
      </c>
      <c r="E19" s="53" t="n"/>
      <c r="F19" s="19" t="inlineStr">
        <is>
          <t>Dividend Yield</t>
        </is>
      </c>
      <c r="G19" s="54" t="inlineStr">
        <is>
          <t>0.47%</t>
        </is>
      </c>
    </row>
    <row r="20"/>
    <row r="21"/>
    <row r="22" ht="15" customHeight="1">
      <c r="L22" t="inlineStr">
        <is>
          <t>Method</t>
        </is>
      </c>
      <c r="M22" t="inlineStr">
        <is>
          <t>Low</t>
        </is>
      </c>
      <c r="N22" t="inlineStr">
        <is>
          <t>Base</t>
        </is>
      </c>
      <c r="O22" t="inlineStr">
        <is>
          <t>High</t>
        </is>
      </c>
    </row>
    <row r="23" ht="15" customHeight="1">
      <c r="L23" t="inlineStr">
        <is>
          <t>DCF (bear)</t>
        </is>
      </c>
      <c r="M23" t="n">
        <v>0</v>
      </c>
      <c r="N23" t="n">
        <v>92.57029725960889</v>
      </c>
      <c r="O23" t="n">
        <v>0</v>
      </c>
    </row>
    <row r="24" ht="15" customHeight="1">
      <c r="L24" t="inlineStr">
        <is>
          <t>DCF (base)</t>
        </is>
      </c>
      <c r="M24" t="n">
        <v>0</v>
      </c>
      <c r="N24" t="n">
        <v>157.6844562046514</v>
      </c>
      <c r="O24" t="n">
        <v>0</v>
      </c>
    </row>
    <row r="25" ht="15" customHeight="1">
      <c r="L25" t="inlineStr">
        <is>
          <t>DCF (bull)</t>
        </is>
      </c>
      <c r="M25" t="n">
        <v>0</v>
      </c>
      <c r="N25" t="n">
        <v>243.6267778690744</v>
      </c>
      <c r="O25" t="n">
        <v>0</v>
      </c>
    </row>
    <row r="26" ht="15" customHeight="1">
      <c r="L26" t="inlineStr">
        <is>
          <t>EV/EBITDA</t>
        </is>
      </c>
      <c r="M26" t="n">
        <v>0</v>
      </c>
      <c r="N26" t="n">
        <v>176.0691817513535</v>
      </c>
      <c r="O26" t="n">
        <v>0</v>
      </c>
    </row>
    <row r="27" ht="15" customHeight="1">
      <c r="L27" t="inlineStr">
        <is>
          <t>EV/Revenue</t>
        </is>
      </c>
      <c r="M27" t="n">
        <v>0</v>
      </c>
      <c r="N27" t="n">
        <v>299.9698441643889</v>
      </c>
      <c r="O27" t="n">
        <v>0</v>
      </c>
    </row>
    <row r="28" ht="15" customHeight="1">
      <c r="L28" t="inlineStr">
        <is>
          <t>P/E</t>
        </is>
      </c>
      <c r="M28" t="n">
        <v>0</v>
      </c>
      <c r="N28" t="n">
        <v>216.9982251716954</v>
      </c>
      <c r="O28" t="n">
        <v>0</v>
      </c>
    </row>
    <row r="29" ht="15" customHeight="1">
      <c r="L29" t="inlineStr">
        <is>
          <t>PT EV/Revenue</t>
        </is>
      </c>
      <c r="M29" t="n">
        <v>0</v>
      </c>
      <c r="N29" t="n">
        <v>162.3304876513376</v>
      </c>
      <c r="O29" t="n">
        <v>0</v>
      </c>
    </row>
    <row r="30" ht="15" customHeight="1">
      <c r="L30" t="inlineStr">
        <is>
          <t>PT EV/EBITDA</t>
        </is>
      </c>
      <c r="M30" t="n">
        <v>0</v>
      </c>
      <c r="N30" t="n">
        <v>178.8039403625199</v>
      </c>
      <c r="O30" t="n">
        <v>0</v>
      </c>
    </row>
    <row r="31" ht="15" customHeight="1">
      <c r="L31" t="inlineStr">
        <is>
          <t>LBO Floor</t>
        </is>
      </c>
      <c r="M31" t="n">
        <v>0</v>
      </c>
      <c r="N31" t="n">
        <v>82.04275833499173</v>
      </c>
      <c r="O31" t="n">
        <v>0</v>
      </c>
    </row>
    <row r="32" ht="15" customHeight="1">
      <c r="L32" t="inlineStr">
        <is>
          <t>Blended (Low)</t>
        </is>
      </c>
      <c r="M32" t="n">
        <v>0</v>
      </c>
      <c r="N32" t="n">
        <v>82.04275833499173</v>
      </c>
      <c r="O32" t="n">
        <v>0</v>
      </c>
    </row>
    <row r="33" ht="15" customHeight="1">
      <c r="L33" t="inlineStr">
        <is>
          <t>Blended (Base)</t>
        </is>
      </c>
      <c r="M33" t="n">
        <v>0</v>
      </c>
      <c r="N33" t="n">
        <v>209.6228033536411</v>
      </c>
      <c r="O33" t="n">
        <v>0</v>
      </c>
    </row>
    <row r="34" ht="15" customHeight="1">
      <c r="L34" t="inlineStr">
        <is>
          <t>Blended (High)</t>
        </is>
      </c>
      <c r="M34" t="n">
        <v>0</v>
      </c>
      <c r="N34" t="n">
        <v>299.9698441643889</v>
      </c>
      <c r="O34" t="n">
        <v>0</v>
      </c>
    </row>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c r="L45" t="inlineStr">
        <is>
          <t>Year</t>
        </is>
      </c>
      <c r="M45" t="inlineStr">
        <is>
          <t>Bear</t>
        </is>
      </c>
      <c r="N45" t="inlineStr">
        <is>
          <t>Base</t>
        </is>
      </c>
      <c r="O45" t="inlineStr">
        <is>
          <t>Bull</t>
        </is>
      </c>
    </row>
    <row r="46" ht="15" customHeight="1">
      <c r="L46" t="inlineStr">
        <is>
          <t>Now</t>
        </is>
      </c>
      <c r="M46" t="n">
        <v>213</v>
      </c>
      <c r="N46" t="n">
        <v>213</v>
      </c>
      <c r="O46" t="n">
        <v>213</v>
      </c>
    </row>
    <row r="47" ht="15" customHeight="1">
      <c r="L47" t="inlineStr">
        <is>
          <t>Y+1</t>
        </is>
      </c>
      <c r="M47" t="n">
        <v>188.91</v>
      </c>
      <c r="N47" t="n">
        <v>201.94</v>
      </c>
      <c r="O47" t="n">
        <v>219.13</v>
      </c>
    </row>
    <row r="48" ht="15" customHeight="1">
      <c r="L48" t="inlineStr">
        <is>
          <t>Y+2</t>
        </is>
      </c>
      <c r="M48" t="n">
        <v>164.83</v>
      </c>
      <c r="N48" t="n">
        <v>190.87</v>
      </c>
      <c r="O48" t="n">
        <v>225.25</v>
      </c>
    </row>
    <row r="49" ht="15" customHeight="1">
      <c r="L49" t="inlineStr">
        <is>
          <t>Y+3</t>
        </is>
      </c>
      <c r="M49" t="n">
        <v>140.74</v>
      </c>
      <c r="N49" t="n">
        <v>179.81</v>
      </c>
      <c r="O49" t="n">
        <v>231.38</v>
      </c>
    </row>
    <row r="50" ht="15" customHeight="1">
      <c r="L50" t="inlineStr">
        <is>
          <t>Y+4</t>
        </is>
      </c>
      <c r="M50" t="n">
        <v>116.66</v>
      </c>
      <c r="N50" t="n">
        <v>168.75</v>
      </c>
      <c r="O50" t="n">
        <v>237.5</v>
      </c>
    </row>
    <row r="51" ht="15" customHeight="1">
      <c r="L51" t="inlineStr">
        <is>
          <t>Y+5</t>
        </is>
      </c>
      <c r="M51" t="n">
        <v>92.56999999999999</v>
      </c>
      <c r="N51" t="n">
        <v>157.68</v>
      </c>
      <c r="O51" t="n">
        <v>243.63</v>
      </c>
    </row>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sheetData>
  <mergeCells count="15">
    <mergeCell ref="D6:E6"/>
    <mergeCell ref="B6:C6"/>
    <mergeCell ref="B13:I13"/>
    <mergeCell ref="D7:E7"/>
    <mergeCell ref="B7:C7"/>
    <mergeCell ref="H6:I6"/>
    <mergeCell ref="H7:I7"/>
    <mergeCell ref="B2:I2"/>
    <mergeCell ref="B3:F3"/>
    <mergeCell ref="B10:C11"/>
    <mergeCell ref="F6:G6"/>
    <mergeCell ref="G3:I3"/>
    <mergeCell ref="D10:E11"/>
    <mergeCell ref="F10:I11"/>
    <mergeCell ref="F7:G7"/>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30" customWidth="1" min="1" max="1"/>
    <col width="18" customWidth="1" min="2" max="2"/>
    <col width="16" customWidth="1" min="3" max="3"/>
    <col width="44" customWidth="1" min="4" max="4"/>
    <col width="44" customWidth="1" min="5" max="5"/>
  </cols>
  <sheetData>
    <row r="1" ht="32" customHeight="1">
      <c r="A1" s="21" t="inlineStr">
        <is>
          <t xml:space="preserve">   — Investment Scorecard    |    Composite scoring across 8 dimensions</t>
        </is>
      </c>
    </row>
    <row r="2"/>
    <row r="3">
      <c r="A3" s="23" t="inlineStr">
        <is>
          <t>Dimension</t>
        </is>
      </c>
      <c r="B3" s="23" t="inlineStr">
        <is>
          <t>Score /10</t>
        </is>
      </c>
      <c r="C3" s="23" t="inlineStr">
        <is>
          <t>Weight</t>
        </is>
      </c>
      <c r="D3" s="23" t="inlineStr">
        <is>
          <t>Wtd Score</t>
        </is>
      </c>
      <c r="E3" s="23" t="inlineStr">
        <is>
          <t>Commentary</t>
        </is>
      </c>
    </row>
    <row r="4">
      <c r="A4" s="55" t="inlineStr">
        <is>
          <t>DCF / Scenario Analysis</t>
        </is>
      </c>
      <c r="B4" s="56" t="n">
        <v>5</v>
      </c>
      <c r="C4" s="57" t="inlineStr">
        <is>
          <t>20%</t>
        </is>
      </c>
      <c r="D4" s="57" t="n">
        <v>1</v>
      </c>
      <c r="E4" s="55" t="inlineStr">
        <is>
          <t>DCF-weighted valuation relative to market price</t>
        </is>
      </c>
    </row>
    <row r="5">
      <c r="A5" s="58" t="inlineStr">
        <is>
          <t>Comparable Companies</t>
        </is>
      </c>
      <c r="B5" s="56" t="n">
        <v>5</v>
      </c>
      <c r="C5" s="59" t="inlineStr">
        <is>
          <t>15%</t>
        </is>
      </c>
      <c r="D5" s="59" t="n">
        <v>0.75</v>
      </c>
      <c r="E5" s="58" t="inlineStr">
        <is>
          <t>Trading multiple discount/premium vs peers</t>
        </is>
      </c>
    </row>
    <row r="6">
      <c r="A6" s="55" t="inlineStr">
        <is>
          <t>Precedent Transactions</t>
        </is>
      </c>
      <c r="B6" s="56" t="n">
        <v>5</v>
      </c>
      <c r="C6" s="57" t="inlineStr">
        <is>
          <t>10%</t>
        </is>
      </c>
      <c r="D6" s="57" t="n">
        <v>0.5</v>
      </c>
      <c r="E6" s="55" t="inlineStr">
        <is>
          <t>Transaction premium vs comparable M&amp;A deals</t>
        </is>
      </c>
    </row>
    <row r="7">
      <c r="A7" s="58" t="inlineStr">
        <is>
          <t>LBO / Returns Analysis</t>
        </is>
      </c>
      <c r="B7" s="56" t="n">
        <v>5</v>
      </c>
      <c r="C7" s="59" t="inlineStr">
        <is>
          <t>10%</t>
        </is>
      </c>
      <c r="D7" s="59" t="n">
        <v>0.5</v>
      </c>
      <c r="E7" s="58" t="inlineStr">
        <is>
          <t>IRR achievable at current price for PE buyer</t>
        </is>
      </c>
    </row>
    <row r="8">
      <c r="A8" s="55" t="inlineStr">
        <is>
          <t>Revenue Growth Quality</t>
        </is>
      </c>
      <c r="B8" s="56" t="n">
        <v>5</v>
      </c>
      <c r="C8" s="57" t="inlineStr">
        <is>
          <t>15%</t>
        </is>
      </c>
      <c r="D8" s="57" t="n">
        <v>0.75</v>
      </c>
      <c r="E8" s="55" t="inlineStr">
        <is>
          <t>Revenue and earnings growth vs sector benchmarks</t>
        </is>
      </c>
    </row>
    <row r="9">
      <c r="A9" s="58" t="inlineStr">
        <is>
          <t>Earnings Quality (QoE)</t>
        </is>
      </c>
      <c r="B9" s="56" t="n">
        <v>5</v>
      </c>
      <c r="C9" s="59" t="inlineStr">
        <is>
          <t>10%</t>
        </is>
      </c>
      <c r="D9" s="59" t="n">
        <v>0.5</v>
      </c>
      <c r="E9" s="58" t="inlineStr">
        <is>
          <t>Accruals ratio, cash conversion, FCF quality</t>
        </is>
      </c>
    </row>
    <row r="10">
      <c r="A10" s="55" t="inlineStr">
        <is>
          <t>Price Momentum</t>
        </is>
      </c>
      <c r="B10" s="56" t="n">
        <v>5</v>
      </c>
      <c r="C10" s="57" t="inlineStr">
        <is>
          <t>10%</t>
        </is>
      </c>
      <c r="D10" s="57" t="n">
        <v>0.5</v>
      </c>
      <c r="E10" s="55" t="inlineStr">
        <is>
          <t>Price trend vs 52-week range and 200d MA</t>
        </is>
      </c>
    </row>
    <row r="11">
      <c r="A11" s="58" t="inlineStr">
        <is>
          <t>Risk / Balance Sheet</t>
        </is>
      </c>
      <c r="B11" s="56" t="n">
        <v>5</v>
      </c>
      <c r="C11" s="59" t="inlineStr">
        <is>
          <t>10%</t>
        </is>
      </c>
      <c r="D11" s="59" t="n">
        <v>0.5</v>
      </c>
      <c r="E11" s="58" t="inlineStr">
        <is>
          <t>Balance sheet strength, leverage, covenant headroom</t>
        </is>
      </c>
    </row>
    <row r="12">
      <c r="A12" s="60" t="inlineStr">
        <is>
          <t>COMPOSITE SCORE</t>
        </is>
      </c>
      <c r="D12" s="61" t="n">
        <v>50</v>
      </c>
      <c r="E12" s="62" t="inlineStr">
        <is>
          <t>Out of 100 — Hold</t>
        </is>
      </c>
    </row>
    <row r="13"/>
    <row r="14">
      <c r="A14" s="63" t="inlineStr">
        <is>
          <t>VALUATION ANCHORS</t>
        </is>
      </c>
    </row>
    <row r="15">
      <c r="A15" s="23" t="inlineStr">
        <is>
          <t>Method</t>
        </is>
      </c>
      <c r="B15" s="23" t="inlineStr">
        <is>
          <t>Value / Share</t>
        </is>
      </c>
      <c r="C15" s="23" t="inlineStr">
        <is>
          <t>Confidence</t>
        </is>
      </c>
      <c r="D15" s="23" t="inlineStr">
        <is>
          <t>Commentary</t>
        </is>
      </c>
    </row>
    <row r="16">
      <c r="A16" s="55" t="inlineStr">
        <is>
          <t>DCF (Base Case)</t>
        </is>
      </c>
      <c r="B16" s="57" t="inlineStr">
        <is>
          <t>$209.62</t>
        </is>
      </c>
      <c r="C16" s="57" t="inlineStr">
        <is>
          <t>High</t>
        </is>
      </c>
      <c r="D16" s="55" t="inlineStr">
        <is>
          <t>Discounted 5-yr FCF + terminal value</t>
        </is>
      </c>
    </row>
    <row r="17">
      <c r="A17" s="58" t="inlineStr">
        <is>
          <t>Monte Carlo Median</t>
        </is>
      </c>
      <c r="B17" s="59" t="inlineStr">
        <is>
          <t>$160.32</t>
        </is>
      </c>
      <c r="C17" s="59" t="inlineStr">
        <is>
          <t>High</t>
        </is>
      </c>
      <c r="D17" s="58" t="inlineStr">
        <is>
          <t>10,000 simulations</t>
        </is>
      </c>
    </row>
    <row r="18">
      <c r="A18" s="55" t="inlineStr">
        <is>
          <t>Reverse DCF</t>
        </is>
      </c>
      <c r="B18" s="57" t="inlineStr">
        <is>
          <t>Implies 13.6% growth</t>
        </is>
      </c>
      <c r="C18" s="57" t="inlineStr">
        <is>
          <t>Medium</t>
        </is>
      </c>
      <c r="D18" s="55" t="inlineStr">
        <is>
          <t>Growth rate priced in at market</t>
        </is>
      </c>
    </row>
    <row r="19">
      <c r="A19" s="58" t="inlineStr">
        <is>
          <t>Analyst Consensus</t>
        </is>
      </c>
      <c r="B19" s="59" t="inlineStr">
        <is>
          <t>N/A</t>
        </is>
      </c>
      <c r="C19" s="59" t="inlineStr">
        <is>
          <t>Medium</t>
        </is>
      </c>
      <c r="D19" s="58" t="inlineStr">
        <is>
          <t>0 analysts</t>
        </is>
      </c>
    </row>
    <row r="20">
      <c r="A20" s="55" t="inlineStr">
        <is>
          <t>Probability-Weighted</t>
        </is>
      </c>
      <c r="B20" s="57" t="inlineStr">
        <is>
          <t>$162.89</t>
        </is>
      </c>
      <c r="C20" s="57" t="inlineStr">
        <is>
          <t>High</t>
        </is>
      </c>
      <c r="D20" s="55" t="inlineStr">
        <is>
          <t>Bear 25% / Base 50% / Bull 25%</t>
        </is>
      </c>
    </row>
    <row r="21">
      <c r="A21" s="58" t="inlineStr">
        <is>
          <t>Current Price</t>
        </is>
      </c>
      <c r="B21" s="59" t="inlineStr">
        <is>
          <t>$213.00</t>
        </is>
      </c>
      <c r="C21" s="59" t="inlineStr">
        <is>
          <t>—</t>
        </is>
      </c>
      <c r="D21" s="58" t="inlineStr">
        <is>
          <t>Market consensus</t>
        </is>
      </c>
    </row>
    <row r="22"/>
    <row r="23"/>
    <row r="24"/>
    <row r="25"/>
    <row r="26"/>
    <row r="27"/>
    <row r="28"/>
    <row r="29"/>
    <row r="30"/>
    <row r="31"/>
    <row r="32"/>
    <row r="33"/>
    <row r="34"/>
    <row r="35"/>
    <row r="36"/>
    <row r="37"/>
    <row r="38"/>
    <row r="39"/>
    <row r="40"/>
    <row r="41"/>
    <row r="42"/>
    <row r="43"/>
    <row r="44"/>
    <row r="45"/>
    <row r="46"/>
    <row r="47"/>
    <row r="48"/>
    <row r="49"/>
    <row r="50"/>
  </sheetData>
  <mergeCells count="3">
    <mergeCell ref="A12:C12"/>
    <mergeCell ref="A1:L1"/>
    <mergeCell ref="A14:E14"/>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5.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18" customWidth="1" min="1" max="1"/>
    <col width="10" customWidth="1" min="2" max="2"/>
    <col width="14" customWidth="1" min="3" max="3"/>
    <col width="14" customWidth="1" min="4" max="4"/>
    <col width="12" customWidth="1" min="5" max="5"/>
    <col width="14" customWidth="1" min="6" max="6"/>
    <col width="12" customWidth="1" min="7" max="7"/>
  </cols>
  <sheetData>
    <row r="1" ht="32" customHeight="1">
      <c r="A1" s="21" t="inlineStr">
        <is>
          <t xml:space="preserve">   — Price Target Analysis    |    Multi-method valuation summary</t>
        </is>
      </c>
    </row>
    <row r="2"/>
    <row r="3">
      <c r="A3" s="23" t="inlineStr">
        <is>
          <t>Method</t>
        </is>
      </c>
      <c r="B3" s="23" t="inlineStr">
        <is>
          <t>Target Price</t>
        </is>
      </c>
      <c r="C3" s="23" t="inlineStr">
        <is>
          <t>Upside/Down</t>
        </is>
      </c>
      <c r="D3" s="23" t="inlineStr">
        <is>
          <t>Weight</t>
        </is>
      </c>
      <c r="E3" s="23" t="inlineStr">
        <is>
          <t>Range Low</t>
        </is>
      </c>
      <c r="F3" s="23" t="inlineStr">
        <is>
          <t>Range High</t>
        </is>
      </c>
      <c r="G3" s="23" t="inlineStr">
        <is>
          <t>Confidence</t>
        </is>
      </c>
    </row>
    <row r="4">
      <c r="A4" s="57" t="inlineStr">
        <is>
          <t>DCF (bear)</t>
        </is>
      </c>
      <c r="B4" s="64" t="n">
        <v>92.57029725960889</v>
      </c>
      <c r="C4" s="65" t="inlineStr">
        <is>
          <t>-56.5%</t>
        </is>
      </c>
      <c r="D4" s="57" t="inlineStr">
        <is>
          <t>8%</t>
        </is>
      </c>
      <c r="E4" s="64" t="n">
        <v>0</v>
      </c>
      <c r="F4" s="64" t="n">
        <v>0</v>
      </c>
      <c r="G4" s="57" t="inlineStr">
        <is>
          <t>Medium</t>
        </is>
      </c>
    </row>
    <row r="5">
      <c r="A5" s="59" t="inlineStr">
        <is>
          <t>DCF (base)</t>
        </is>
      </c>
      <c r="B5" s="66" t="n">
        <v>157.6844562046514</v>
      </c>
      <c r="C5" s="67" t="inlineStr">
        <is>
          <t>-26.0%</t>
        </is>
      </c>
      <c r="D5" s="59" t="inlineStr">
        <is>
          <t>8%</t>
        </is>
      </c>
      <c r="E5" s="66" t="n">
        <v>0</v>
      </c>
      <c r="F5" s="66" t="n">
        <v>0</v>
      </c>
      <c r="G5" s="59" t="inlineStr">
        <is>
          <t>Medium</t>
        </is>
      </c>
    </row>
    <row r="6">
      <c r="A6" s="57" t="inlineStr">
        <is>
          <t>DCF (bull)</t>
        </is>
      </c>
      <c r="B6" s="64" t="n">
        <v>243.6267778690744</v>
      </c>
      <c r="C6" s="68" t="inlineStr">
        <is>
          <t>+14.4%</t>
        </is>
      </c>
      <c r="D6" s="57" t="inlineStr">
        <is>
          <t>8%</t>
        </is>
      </c>
      <c r="E6" s="64" t="n">
        <v>0</v>
      </c>
      <c r="F6" s="64" t="n">
        <v>0</v>
      </c>
      <c r="G6" s="57" t="inlineStr">
        <is>
          <t>Medium</t>
        </is>
      </c>
    </row>
    <row r="7">
      <c r="A7" s="59" t="inlineStr">
        <is>
          <t>EV/EBITDA</t>
        </is>
      </c>
      <c r="B7" s="66" t="n">
        <v>176.0691817513535</v>
      </c>
      <c r="C7" s="67" t="inlineStr">
        <is>
          <t>-17.3%</t>
        </is>
      </c>
      <c r="D7" s="59" t="inlineStr">
        <is>
          <t>8%</t>
        </is>
      </c>
      <c r="E7" s="66" t="n">
        <v>0</v>
      </c>
      <c r="F7" s="66" t="n">
        <v>0</v>
      </c>
      <c r="G7" s="59" t="inlineStr">
        <is>
          <t>Medium</t>
        </is>
      </c>
    </row>
    <row r="8">
      <c r="A8" s="57" t="inlineStr">
        <is>
          <t>EV/Revenue</t>
        </is>
      </c>
      <c r="B8" s="64" t="n">
        <v>299.9698441643889</v>
      </c>
      <c r="C8" s="68" t="inlineStr">
        <is>
          <t>+40.8%</t>
        </is>
      </c>
      <c r="D8" s="57" t="inlineStr">
        <is>
          <t>8%</t>
        </is>
      </c>
      <c r="E8" s="64" t="n">
        <v>0</v>
      </c>
      <c r="F8" s="64" t="n">
        <v>0</v>
      </c>
      <c r="G8" s="57" t="inlineStr">
        <is>
          <t>Medium</t>
        </is>
      </c>
    </row>
    <row r="9">
      <c r="A9" s="59" t="inlineStr">
        <is>
          <t>P/E</t>
        </is>
      </c>
      <c r="B9" s="66" t="n">
        <v>216.9982251716954</v>
      </c>
      <c r="C9" s="69" t="inlineStr">
        <is>
          <t>+1.9%</t>
        </is>
      </c>
      <c r="D9" s="59" t="inlineStr">
        <is>
          <t>8%</t>
        </is>
      </c>
      <c r="E9" s="66" t="n">
        <v>0</v>
      </c>
      <c r="F9" s="66" t="n">
        <v>0</v>
      </c>
      <c r="G9" s="59" t="inlineStr">
        <is>
          <t>Medium</t>
        </is>
      </c>
    </row>
    <row r="10">
      <c r="A10" s="57" t="inlineStr">
        <is>
          <t>PT EV/Revenue</t>
        </is>
      </c>
      <c r="B10" s="64" t="n">
        <v>162.3304876513376</v>
      </c>
      <c r="C10" s="65" t="inlineStr">
        <is>
          <t>-23.8%</t>
        </is>
      </c>
      <c r="D10" s="57" t="inlineStr">
        <is>
          <t>8%</t>
        </is>
      </c>
      <c r="E10" s="64" t="n">
        <v>0</v>
      </c>
      <c r="F10" s="64" t="n">
        <v>0</v>
      </c>
      <c r="G10" s="57" t="inlineStr">
        <is>
          <t>Medium</t>
        </is>
      </c>
    </row>
    <row r="11">
      <c r="A11" s="59" t="inlineStr">
        <is>
          <t>PT EV/EBITDA</t>
        </is>
      </c>
      <c r="B11" s="66" t="n">
        <v>178.8039403625199</v>
      </c>
      <c r="C11" s="67" t="inlineStr">
        <is>
          <t>-16.1%</t>
        </is>
      </c>
      <c r="D11" s="59" t="inlineStr">
        <is>
          <t>8%</t>
        </is>
      </c>
      <c r="E11" s="66" t="n">
        <v>0</v>
      </c>
      <c r="F11" s="66" t="n">
        <v>0</v>
      </c>
      <c r="G11" s="59" t="inlineStr">
        <is>
          <t>Medium</t>
        </is>
      </c>
    </row>
    <row r="12">
      <c r="A12" s="57" t="inlineStr">
        <is>
          <t>LBO Floor</t>
        </is>
      </c>
      <c r="B12" s="64" t="n">
        <v>82.04275833499173</v>
      </c>
      <c r="C12" s="65" t="inlineStr">
        <is>
          <t>-61.5%</t>
        </is>
      </c>
      <c r="D12" s="57" t="inlineStr">
        <is>
          <t>8%</t>
        </is>
      </c>
      <c r="E12" s="64" t="n">
        <v>0</v>
      </c>
      <c r="F12" s="64" t="n">
        <v>0</v>
      </c>
      <c r="G12" s="57" t="inlineStr">
        <is>
          <t>Medium</t>
        </is>
      </c>
    </row>
    <row r="13">
      <c r="A13" s="59" t="inlineStr">
        <is>
          <t>Blended (Low)</t>
        </is>
      </c>
      <c r="B13" s="66" t="n">
        <v>82.04275833499173</v>
      </c>
      <c r="C13" s="67" t="inlineStr">
        <is>
          <t>-61.5%</t>
        </is>
      </c>
      <c r="D13" s="59" t="inlineStr">
        <is>
          <t>8%</t>
        </is>
      </c>
      <c r="E13" s="66" t="n">
        <v>0</v>
      </c>
      <c r="F13" s="66" t="n">
        <v>0</v>
      </c>
      <c r="G13" s="59" t="inlineStr">
        <is>
          <t>Medium</t>
        </is>
      </c>
    </row>
    <row r="14">
      <c r="A14" s="57" t="inlineStr">
        <is>
          <t>Blended (Base)</t>
        </is>
      </c>
      <c r="B14" s="64" t="n">
        <v>209.6228033536411</v>
      </c>
      <c r="C14" s="70" t="inlineStr">
        <is>
          <t>-1.6%</t>
        </is>
      </c>
      <c r="D14" s="57" t="inlineStr">
        <is>
          <t>8%</t>
        </is>
      </c>
      <c r="E14" s="64" t="n">
        <v>0</v>
      </c>
      <c r="F14" s="64" t="n">
        <v>0</v>
      </c>
      <c r="G14" s="57" t="inlineStr">
        <is>
          <t>Medium</t>
        </is>
      </c>
    </row>
    <row r="15">
      <c r="A15" s="59" t="inlineStr">
        <is>
          <t>Blended (High)</t>
        </is>
      </c>
      <c r="B15" s="66" t="n">
        <v>299.9698441643889</v>
      </c>
      <c r="C15" s="71" t="inlineStr">
        <is>
          <t>+40.8%</t>
        </is>
      </c>
      <c r="D15" s="59" t="inlineStr">
        <is>
          <t>8%</t>
        </is>
      </c>
      <c r="E15" s="66" t="n">
        <v>0</v>
      </c>
      <c r="F15" s="66" t="n">
        <v>0</v>
      </c>
      <c r="G15" s="59" t="inlineStr">
        <is>
          <t>Medium</t>
        </is>
      </c>
    </row>
    <row r="16">
      <c r="A16" s="72" t="inlineStr">
        <is>
          <t xml:space="preserve">  BLENDED TARGET (Weighted):  $209.62</t>
        </is>
      </c>
    </row>
    <row r="17"/>
    <row r="18">
      <c r="A18" s="63" t="inlineStr">
        <is>
          <t>SCENARIO PRICE TARGETS</t>
        </is>
      </c>
    </row>
    <row r="19">
      <c r="A19" s="23" t="inlineStr">
        <is>
          <t>Scenario</t>
        </is>
      </c>
      <c r="B19" s="23" t="inlineStr">
        <is>
          <t>WACC</t>
        </is>
      </c>
      <c r="C19" s="23" t="inlineStr">
        <is>
          <t>Growth Yr1-3</t>
        </is>
      </c>
      <c r="D19" s="23" t="inlineStr">
        <is>
          <t>Growth Yr4-5</t>
        </is>
      </c>
      <c r="E19" s="23" t="inlineStr">
        <is>
          <t>EV ($B)</t>
        </is>
      </c>
      <c r="F19" s="23" t="inlineStr">
        <is>
          <t>Eq Value ($B)</t>
        </is>
      </c>
      <c r="G19" s="23" t="inlineStr">
        <is>
          <t>Per Share</t>
        </is>
      </c>
    </row>
    <row r="20">
      <c r="A20" s="57" t="inlineStr">
        <is>
          <t>Bear Case</t>
        </is>
      </c>
      <c r="B20" s="73" t="n">
        <v>0.102</v>
      </c>
      <c r="C20" s="73" t="n">
        <v>0.0525</v>
      </c>
      <c r="D20" s="73" t="n">
        <v>0.042</v>
      </c>
      <c r="E20" s="74" t="n">
        <v>1432.93506969349</v>
      </c>
      <c r="F20" s="74" t="n">
        <v>1367.56506969349</v>
      </c>
      <c r="G20" s="75" t="n">
        <v>92.57029725960889</v>
      </c>
    </row>
    <row r="21">
      <c r="A21" s="57" t="inlineStr">
        <is>
          <t>Base Case</t>
        </is>
      </c>
      <c r="B21" s="73" t="n">
        <v>0.082</v>
      </c>
      <c r="C21" s="73" t="n">
        <v>0.075</v>
      </c>
      <c r="D21" s="73" t="n">
        <v>0.06</v>
      </c>
      <c r="E21" s="74" t="n">
        <v>2394.883469469928</v>
      </c>
      <c r="F21" s="74" t="n">
        <v>2329.513469469928</v>
      </c>
      <c r="G21" s="75" t="n">
        <v>157.6844562046514</v>
      </c>
    </row>
    <row r="22">
      <c r="A22" s="57" t="inlineStr">
        <is>
          <t>Bull Case</t>
        </is>
      </c>
      <c r="B22" s="73" t="n">
        <v>0.062</v>
      </c>
      <c r="C22" s="73" t="n">
        <v>0.0975</v>
      </c>
      <c r="D22" s="73" t="n">
        <v>0.078</v>
      </c>
      <c r="E22" s="74" t="n">
        <v>3664.531732422082</v>
      </c>
      <c r="F22" s="74" t="n">
        <v>3599.161732422082</v>
      </c>
      <c r="G22" s="75" t="n">
        <v>243.6267778690744</v>
      </c>
    </row>
    <row r="23"/>
    <row r="24"/>
    <row r="25"/>
    <row r="26"/>
    <row r="27"/>
    <row r="28"/>
    <row r="29"/>
    <row r="30"/>
    <row r="31"/>
    <row r="32"/>
    <row r="33"/>
    <row r="34"/>
    <row r="35"/>
    <row r="36"/>
    <row r="37"/>
    <row r="38"/>
    <row r="39"/>
    <row r="40"/>
    <row r="41"/>
    <row r="42"/>
    <row r="43"/>
    <row r="44"/>
    <row r="45"/>
    <row r="46"/>
    <row r="47"/>
    <row r="48"/>
    <row r="49"/>
    <row r="50"/>
  </sheetData>
  <mergeCells count="3">
    <mergeCell ref="A16:F16"/>
    <mergeCell ref="A1:L1"/>
    <mergeCell ref="A18:G18"/>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24" customWidth="1" min="1" max="1"/>
    <col width="16" customWidth="1" min="2" max="2"/>
    <col width="16" customWidth="1" min="3" max="3"/>
    <col width="16" customWidth="1" min="4" max="4"/>
    <col width="16" customWidth="1" min="5" max="5"/>
    <col width="12" customWidth="1" min="6" max="6"/>
    <col width="18" customWidth="1" min="7" max="7"/>
  </cols>
  <sheetData>
    <row r="1" ht="32" customHeight="1">
      <c r="A1" s="21" t="inlineStr">
        <is>
          <t xml:space="preserve">   — Executive Summary    |    Consolidated valuation snapshot</t>
        </is>
      </c>
    </row>
    <row r="2"/>
    <row r="3">
      <c r="A3" s="76" t="inlineStr">
        <is>
          <t>COMPANY PROFILE</t>
        </is>
      </c>
    </row>
    <row r="4">
      <c r="A4" s="23" t="inlineStr">
        <is>
          <t>Field</t>
        </is>
      </c>
      <c r="B4" s="23" t="inlineStr">
        <is>
          <t>Value</t>
        </is>
      </c>
      <c r="C4" s="23" t="inlineStr">
        <is>
          <t>Field</t>
        </is>
      </c>
      <c r="D4" s="23" t="inlineStr">
        <is>
          <t>Value</t>
        </is>
      </c>
    </row>
    <row r="5">
      <c r="A5" s="77" t="inlineStr">
        <is>
          <t>Name</t>
        </is>
      </c>
      <c r="B5" s="78" t="inlineStr"/>
      <c r="C5" s="77" t="inlineStr">
        <is>
          <t>Sector</t>
        </is>
      </c>
      <c r="D5" s="78" t="inlineStr">
        <is>
          <t>Technology</t>
        </is>
      </c>
    </row>
    <row r="6">
      <c r="A6" s="79" t="inlineStr">
        <is>
          <t>Ticker</t>
        </is>
      </c>
      <c r="B6" s="80" t="inlineStr">
        <is>
          <t>AAPL</t>
        </is>
      </c>
      <c r="C6" s="79" t="inlineStr">
        <is>
          <t>Exchange</t>
        </is>
      </c>
      <c r="D6" s="80" t="inlineStr">
        <is>
          <t>NASDAQ</t>
        </is>
      </c>
    </row>
    <row r="7">
      <c r="A7" s="77" t="inlineStr">
        <is>
          <t>Market Cap</t>
        </is>
      </c>
      <c r="B7" s="78" t="inlineStr">
        <is>
          <t>$3240.0B</t>
        </is>
      </c>
      <c r="C7" s="77" t="inlineStr">
        <is>
          <t>EV</t>
        </is>
      </c>
      <c r="D7" s="78" t="inlineStr">
        <is>
          <t>$3305.4B</t>
        </is>
      </c>
    </row>
    <row r="8">
      <c r="A8" s="79" t="inlineStr">
        <is>
          <t>Revenue</t>
        </is>
      </c>
      <c r="B8" s="80" t="inlineStr">
        <is>
          <t>$391.0B</t>
        </is>
      </c>
      <c r="C8" s="79" t="inlineStr">
        <is>
          <t>EBITDA</t>
        </is>
      </c>
      <c r="D8" s="80" t="inlineStr">
        <is>
          <t>$134.7B</t>
        </is>
      </c>
    </row>
    <row r="9">
      <c r="A9" s="77" t="inlineStr">
        <is>
          <t>Net Income</t>
        </is>
      </c>
      <c r="B9" s="78" t="inlineStr">
        <is>
          <t>$93.74B</t>
        </is>
      </c>
      <c r="C9" s="77" t="inlineStr">
        <is>
          <t>Cash</t>
        </is>
      </c>
      <c r="D9" s="78" t="inlineStr">
        <is>
          <t>$35.9B</t>
        </is>
      </c>
    </row>
    <row r="10">
      <c r="A10" s="79" t="inlineStr">
        <is>
          <t>Total Debt</t>
        </is>
      </c>
      <c r="B10" s="80" t="inlineStr">
        <is>
          <t>$101.3B</t>
        </is>
      </c>
      <c r="C10" s="79" t="inlineStr">
        <is>
          <t>Net Debt</t>
        </is>
      </c>
      <c r="D10" s="80" t="inlineStr">
        <is>
          <t>$65.4B</t>
        </is>
      </c>
    </row>
    <row r="11"/>
    <row r="12">
      <c r="A12" s="63" t="inlineStr">
        <is>
          <t>VALUATION SUMMARY</t>
        </is>
      </c>
    </row>
    <row r="13">
      <c r="A13" s="23" t="inlineStr">
        <is>
          <t>Method</t>
        </is>
      </c>
      <c r="B13" s="23" t="inlineStr">
        <is>
          <t>EV ($B)</t>
        </is>
      </c>
      <c r="C13" s="23" t="inlineStr">
        <is>
          <t>Equity ($B)</t>
        </is>
      </c>
      <c r="D13" s="23" t="inlineStr">
        <is>
          <t>Per Share</t>
        </is>
      </c>
      <c r="E13" s="23" t="inlineStr">
        <is>
          <t>vs Current</t>
        </is>
      </c>
      <c r="F13" s="23" t="inlineStr">
        <is>
          <t>Weight</t>
        </is>
      </c>
      <c r="G13" s="23" t="inlineStr">
        <is>
          <t>Confidence</t>
        </is>
      </c>
    </row>
    <row r="14">
      <c r="A14" s="55" t="inlineStr">
        <is>
          <t>DCF Base</t>
        </is>
      </c>
      <c r="B14" s="74" t="n">
        <v>2394.883469469928</v>
      </c>
      <c r="C14" s="74" t="n">
        <v>2329.513469469928</v>
      </c>
      <c r="D14" s="64" t="n">
        <v>157.6844562046514</v>
      </c>
      <c r="E14" s="57" t="inlineStr">
        <is>
          <t>-26.0%</t>
        </is>
      </c>
      <c r="F14" s="57" t="inlineStr">
        <is>
          <t>35%</t>
        </is>
      </c>
      <c r="G14" s="57" t="inlineStr">
        <is>
          <t>High</t>
        </is>
      </c>
    </row>
    <row r="15">
      <c r="A15" s="58" t="inlineStr">
        <is>
          <t>Bear Case</t>
        </is>
      </c>
      <c r="B15" s="81" t="n">
        <v>1432.93506969349</v>
      </c>
      <c r="C15" s="81" t="n">
        <v>1367.56506969349</v>
      </c>
      <c r="D15" s="66" t="n">
        <v>92.57029725960889</v>
      </c>
      <c r="E15" s="59" t="inlineStr">
        <is>
          <t>-56.5%</t>
        </is>
      </c>
      <c r="F15" s="59" t="inlineStr">
        <is>
          <t>15%</t>
        </is>
      </c>
      <c r="G15" s="59" t="inlineStr">
        <is>
          <t>Medium</t>
        </is>
      </c>
    </row>
    <row r="16">
      <c r="A16" s="55" t="inlineStr">
        <is>
          <t>Bull Case</t>
        </is>
      </c>
      <c r="B16" s="74" t="n">
        <v>3664.531732422082</v>
      </c>
      <c r="C16" s="74" t="n">
        <v>3599.161732422082</v>
      </c>
      <c r="D16" s="64" t="n">
        <v>243.6267778690744</v>
      </c>
      <c r="E16" s="57" t="inlineStr">
        <is>
          <t>+14.4%</t>
        </is>
      </c>
      <c r="F16" s="57" t="inlineStr">
        <is>
          <t>15%</t>
        </is>
      </c>
      <c r="G16" s="57" t="inlineStr">
        <is>
          <t>Medium</t>
        </is>
      </c>
    </row>
    <row r="17">
      <c r="A17" s="58" t="inlineStr">
        <is>
          <t>Comps</t>
        </is>
      </c>
      <c r="B17" s="81" t="n">
        <v>2666.4858</v>
      </c>
      <c r="C17" s="81" t="n">
        <v>2601.1158</v>
      </c>
      <c r="D17" s="66" t="n">
        <v>176.0691817513535</v>
      </c>
      <c r="E17" s="59" t="inlineStr">
        <is>
          <t>-17.3%</t>
        </is>
      </c>
      <c r="F17" s="59" t="inlineStr">
        <is>
          <t>20%</t>
        </is>
      </c>
      <c r="G17" s="59" t="inlineStr">
        <is>
          <t>Medium</t>
        </is>
      </c>
    </row>
    <row r="18">
      <c r="A18" s="55" t="inlineStr">
        <is>
          <t>Precedents</t>
        </is>
      </c>
      <c r="B18" s="74" t="n">
        <v>2463.5205</v>
      </c>
      <c r="C18" s="74" t="n">
        <v>2398.1505</v>
      </c>
      <c r="D18" s="64" t="n">
        <v>162.3304876513376</v>
      </c>
      <c r="E18" s="57" t="inlineStr">
        <is>
          <t>-23.8%</t>
        </is>
      </c>
      <c r="F18" s="57" t="inlineStr">
        <is>
          <t>10%</t>
        </is>
      </c>
      <c r="G18" s="57" t="inlineStr">
        <is>
          <t>Medium</t>
        </is>
      </c>
    </row>
    <row r="19">
      <c r="A19" s="58" t="inlineStr">
        <is>
          <t>LBO</t>
        </is>
      </c>
      <c r="B19" s="81" t="n">
        <v>2628.05</v>
      </c>
      <c r="C19" s="81" t="n">
        <v>2562.68</v>
      </c>
      <c r="D19" s="66" t="n">
        <v>173.4674675731694</v>
      </c>
      <c r="E19" s="59" t="inlineStr">
        <is>
          <t>-18.6%</t>
        </is>
      </c>
      <c r="F19" s="59" t="inlineStr">
        <is>
          <t>5%</t>
        </is>
      </c>
      <c r="G19" s="59" t="inlineStr">
        <is>
          <t>Medium</t>
        </is>
      </c>
    </row>
    <row r="20"/>
    <row r="21">
      <c r="A21" s="63" t="inlineStr">
        <is>
          <t>PROBABILITY-WEIGHTED SCENARIO</t>
        </is>
      </c>
    </row>
    <row r="22">
      <c r="A22" s="78" t="inlineStr">
        <is>
          <t>Bear EV ($B)</t>
        </is>
      </c>
      <c r="B22" s="82" t="n">
        <v>1432.93506969349</v>
      </c>
    </row>
    <row r="23">
      <c r="A23" s="78" t="inlineStr">
        <is>
          <t>Base EV ($B)</t>
        </is>
      </c>
      <c r="B23" s="82" t="n">
        <v>2394.883469469928</v>
      </c>
    </row>
    <row r="24">
      <c r="A24" s="78" t="inlineStr">
        <is>
          <t>Bull EV ($B)</t>
        </is>
      </c>
      <c r="B24" s="82" t="n">
        <v>3664.531732422082</v>
      </c>
    </row>
    <row r="25">
      <c r="A25" s="78" t="inlineStr">
        <is>
          <t>Probability-Weighted EV ($B)</t>
        </is>
      </c>
      <c r="B25" s="82" t="n">
        <v>2471.808435263857</v>
      </c>
    </row>
    <row r="26">
      <c r="A26" s="78" t="inlineStr">
        <is>
          <t>PW Equity Value ($B)</t>
        </is>
      </c>
      <c r="B26" s="82" t="n">
        <v>2406.438435263857</v>
      </c>
    </row>
    <row r="27">
      <c r="A27" s="78" t="inlineStr">
        <is>
          <t>PW Price / Share</t>
        </is>
      </c>
      <c r="B27" s="83" t="n">
        <v>162.8914968844965</v>
      </c>
    </row>
    <row r="28"/>
    <row r="29"/>
    <row r="30"/>
    <row r="31"/>
    <row r="32"/>
    <row r="33"/>
    <row r="34"/>
    <row r="35"/>
    <row r="36"/>
    <row r="37"/>
    <row r="38"/>
    <row r="39"/>
    <row r="40"/>
    <row r="41"/>
    <row r="42"/>
    <row r="43"/>
    <row r="44"/>
    <row r="45"/>
    <row r="46"/>
    <row r="47"/>
    <row r="48"/>
    <row r="49"/>
    <row r="50"/>
  </sheetData>
  <mergeCells count="4">
    <mergeCell ref="A12:H12"/>
    <mergeCell ref="A3:H3"/>
    <mergeCell ref="A21:H21"/>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7.xml><?xml version="1.0" encoding="utf-8"?>
<worksheet xmlns="http://schemas.openxmlformats.org/spreadsheetml/2006/main">
  <sheetPr>
    <tabColor rgb="000071E3"/>
    <outlinePr summaryBelow="1" summaryRight="1"/>
    <pageSetUpPr fitToPage="1"/>
  </sheetPr>
  <dimension ref="A1:L21"/>
  <sheetViews>
    <sheetView showGridLines="0" workbookViewId="0">
      <pane ySplit="2" topLeftCell="A3" activePane="bottomLeft" state="frozen"/>
      <selection pane="bottomLeft" activeCell="A1" sqref="A1"/>
    </sheetView>
  </sheetViews>
  <sheetFormatPr baseColWidth="8" defaultRowHeight="15"/>
  <cols>
    <col width="34" customWidth="1" min="1" max="1"/>
    <col width="20" customWidth="1" min="2" max="2"/>
    <col width="22" customWidth="1" min="3" max="3"/>
    <col width="36" customWidth="1" min="4" max="4"/>
  </cols>
  <sheetData>
    <row r="1" ht="32" customHeight="1">
      <c r="A1" s="21" t="inlineStr">
        <is>
          <t xml:space="preserve">   — Enterprise Value Bridge    |    Step-by-step EV → Equity Value reconciliation</t>
        </is>
      </c>
    </row>
    <row r="2"/>
    <row r="3">
      <c r="A3" s="76" t="inlineStr">
        <is>
          <t>EV → EQUITY VALUE BRIDGE</t>
        </is>
      </c>
    </row>
    <row r="4">
      <c r="A4" s="23" t="inlineStr">
        <is>
          <t>Step</t>
        </is>
      </c>
      <c r="B4" s="23" t="inlineStr">
        <is>
          <t>Add / (Deduct)</t>
        </is>
      </c>
      <c r="C4" s="23" t="inlineStr">
        <is>
          <t>Running Total ($B)</t>
        </is>
      </c>
      <c r="D4" s="23" t="inlineStr">
        <is>
          <t>Description</t>
        </is>
      </c>
    </row>
    <row r="5">
      <c r="A5" s="55" t="inlineStr">
        <is>
          <t>Enterprise Value (Base DCF)</t>
        </is>
      </c>
      <c r="B5" s="84" t="n">
        <v>2394.883469469928</v>
      </c>
      <c r="C5" s="84" t="n">
        <v>2394.883469469928</v>
      </c>
      <c r="D5" s="55" t="inlineStr">
        <is>
          <t>DCF blended base case EV</t>
        </is>
      </c>
    </row>
    <row r="6">
      <c r="A6" s="58" t="inlineStr">
        <is>
          <t>(+) Cash &amp; Equivalents</t>
        </is>
      </c>
      <c r="B6" s="85" t="n">
        <v>35.934</v>
      </c>
      <c r="C6" s="85" t="n">
        <v>2430.817469469928</v>
      </c>
      <c r="D6" s="58" t="inlineStr">
        <is>
          <t>Cash reduces net debt burden</t>
        </is>
      </c>
    </row>
    <row r="7">
      <c r="A7" s="55" t="inlineStr">
        <is>
          <t>(-) Total Debt</t>
        </is>
      </c>
      <c r="B7" s="84" t="n">
        <v>-101.304</v>
      </c>
      <c r="C7" s="84" t="n">
        <v>2329.513469469928</v>
      </c>
      <c r="D7" s="55" t="inlineStr">
        <is>
          <t>All interest-bearing obligations</t>
        </is>
      </c>
    </row>
    <row r="8">
      <c r="A8" s="58" t="inlineStr">
        <is>
          <t>(-) Pension / OPEB Liability</t>
        </is>
      </c>
      <c r="B8" s="85" t="n">
        <v>-5.0652</v>
      </c>
      <c r="C8" s="85" t="n">
        <v>2324.448269469928</v>
      </c>
      <c r="D8" s="58" t="inlineStr">
        <is>
          <t>Off-balance sheet obligations</t>
        </is>
      </c>
    </row>
    <row r="9">
      <c r="A9" s="55" t="inlineStr">
        <is>
          <t>(-) Operating Leases</t>
        </is>
      </c>
      <c r="B9" s="84" t="n">
        <v>-8.10432</v>
      </c>
      <c r="C9" s="84" t="n">
        <v>2316.343949469928</v>
      </c>
      <c r="D9" s="55" t="inlineStr">
        <is>
          <t>PV of lease commitments</t>
        </is>
      </c>
    </row>
    <row r="10">
      <c r="A10" s="58" t="inlineStr">
        <is>
          <t>(-) Minority Interests</t>
        </is>
      </c>
      <c r="B10" s="85" t="n">
        <v>0</v>
      </c>
      <c r="C10" s="85" t="n">
        <v>2316.343949469928</v>
      </c>
      <c r="D10" s="58" t="inlineStr">
        <is>
          <t>Non-controlling interests</t>
        </is>
      </c>
    </row>
    <row r="11">
      <c r="A11" s="55" t="inlineStr">
        <is>
          <t>(-) Preferred Stock</t>
        </is>
      </c>
      <c r="B11" s="84" t="n">
        <v>0</v>
      </c>
      <c r="C11" s="84" t="n">
        <v>2316.343949469928</v>
      </c>
      <c r="D11" s="55" t="inlineStr">
        <is>
          <t>Liquidation preference</t>
        </is>
      </c>
    </row>
    <row r="12">
      <c r="A12" s="86">
        <f> Equity Value</f>
        <v/>
      </c>
      <c r="B12" s="87" t="n">
        <v>2316.343949469928</v>
      </c>
      <c r="C12" s="87" t="n">
        <v>2316.343949469928</v>
      </c>
      <c r="D12" s="86" t="inlineStr">
        <is>
          <t>Value attributable to common shareholders</t>
        </is>
      </c>
    </row>
    <row r="15">
      <c r="A15" s="63" t="inlineStr">
        <is>
          <t>PER SHARE WALK</t>
        </is>
      </c>
    </row>
    <row r="16">
      <c r="A16" s="23" t="inlineStr">
        <is>
          <t>Adj.</t>
        </is>
      </c>
      <c r="B16" s="23" t="inlineStr">
        <is>
          <t>Per Share Impact</t>
        </is>
      </c>
      <c r="C16" s="23" t="inlineStr">
        <is>
          <t>Cumulative</t>
        </is>
      </c>
      <c r="D16" s="23" t="inlineStr">
        <is>
          <t>Note</t>
        </is>
      </c>
    </row>
    <row r="17">
      <c r="A17" s="78" t="inlineStr">
        <is>
          <t>EV / Diluted Shares</t>
        </is>
      </c>
      <c r="B17" s="64" t="n">
        <v>162.1093427902797</v>
      </c>
      <c r="C17" s="64" t="n">
        <v>162.1093427902797</v>
      </c>
      <c r="D17" s="78" t="inlineStr">
        <is>
          <t>DCF value per share</t>
        </is>
      </c>
    </row>
    <row r="18">
      <c r="A18" s="78" t="inlineStr">
        <is>
          <t>(+) Cash per Share</t>
        </is>
      </c>
      <c r="B18" s="64" t="n">
        <v>2.432367669695111</v>
      </c>
      <c r="C18" s="64" t="n">
        <v>164.5417104599748</v>
      </c>
      <c r="D18" s="78" t="inlineStr">
        <is>
          <t>Net cash benefit</t>
        </is>
      </c>
    </row>
    <row r="19">
      <c r="A19" s="78" t="inlineStr">
        <is>
          <t>(-) Debt per Share</t>
        </is>
      </c>
      <c r="B19" s="64" t="n">
        <v>-6.857254255323469</v>
      </c>
      <c r="C19" s="64" t="n">
        <v>157.6844562046514</v>
      </c>
      <c r="D19" s="78" t="inlineStr">
        <is>
          <t>Debt burden</t>
        </is>
      </c>
    </row>
    <row r="20">
      <c r="A20" s="78" t="inlineStr">
        <is>
          <t>(-) Other Adjustments</t>
        </is>
      </c>
      <c r="B20" s="64" t="n">
        <v>-0.8914430531920511</v>
      </c>
      <c r="C20" s="64" t="n">
        <v>156.7930131514593</v>
      </c>
      <c r="D20" s="78" t="inlineStr">
        <is>
          <t>All other deductions</t>
        </is>
      </c>
    </row>
    <row r="21">
      <c r="A21" s="88">
        <f> Equity Value per Share</f>
        <v/>
      </c>
      <c r="B21" s="89" t="n">
        <v>156.7930131514593</v>
      </c>
      <c r="C21" s="89" t="n">
        <v>313.5860263029186</v>
      </c>
      <c r="D21" s="88" t="inlineStr">
        <is>
          <t>Intrinsic value estimate</t>
        </is>
      </c>
    </row>
  </sheetData>
  <mergeCells count="3">
    <mergeCell ref="A3:F3"/>
    <mergeCell ref="A15:F15"/>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8.xml><?xml version="1.0" encoding="utf-8"?>
<worksheet xmlns="http://schemas.openxmlformats.org/spreadsheetml/2006/main">
  <sheetPr>
    <tabColor rgb="000071E3"/>
    <outlinePr summaryBelow="1" summaryRight="1"/>
    <pageSetUpPr fitToPage="1"/>
  </sheetPr>
  <dimension ref="A1:L17"/>
  <sheetViews>
    <sheetView showGridLines="0" workbookViewId="0">
      <pane ySplit="2" topLeftCell="A3" activePane="bottomLeft" state="frozen"/>
      <selection pane="bottomLeft" activeCell="A1" sqref="A1"/>
    </sheetView>
  </sheetViews>
  <sheetFormatPr baseColWidth="8" defaultRowHeight="15"/>
  <cols>
    <col width="26" customWidth="1" min="1" max="1"/>
    <col width="16" customWidth="1" min="2" max="2"/>
    <col width="18" customWidth="1" min="3" max="3"/>
    <col width="18" customWidth="1" min="4" max="4"/>
    <col width="14" customWidth="1" min="5" max="5"/>
    <col width="16" customWidth="1" min="6" max="6"/>
    <col width="16" customWidth="1" min="7" max="7"/>
  </cols>
  <sheetData>
    <row r="1" ht="32" customHeight="1">
      <c r="A1" s="21" t="inlineStr">
        <is>
          <t xml:space="preserve">   — Sum-of-the-Parts    |    Segment-level valuation breakdown</t>
        </is>
      </c>
    </row>
    <row r="2"/>
    <row r="3">
      <c r="A3" s="23" t="inlineStr">
        <is>
          <t>Segment</t>
        </is>
      </c>
      <c r="B3" s="23" t="inlineStr">
        <is>
          <t>Revenue ($M)</t>
        </is>
      </c>
      <c r="C3" s="23" t="inlineStr">
        <is>
          <t>EV/Rev Multiple</t>
        </is>
      </c>
      <c r="D3" s="23" t="inlineStr">
        <is>
          <t>Segment EV ($B)</t>
        </is>
      </c>
      <c r="E3" s="23" t="inlineStr">
        <is>
          <t>% of Total</t>
        </is>
      </c>
      <c r="F3" s="23" t="inlineStr">
        <is>
          <t>Bear EV ($B)</t>
        </is>
      </c>
      <c r="G3" s="23" t="inlineStr">
        <is>
          <t>Bull EV ($B)</t>
        </is>
      </c>
      <c r="I3" t="inlineStr">
        <is>
          <t>Segment</t>
        </is>
      </c>
      <c r="J3" t="inlineStr">
        <is>
          <t>EV</t>
        </is>
      </c>
    </row>
    <row r="4">
      <c r="A4" s="55" t="inlineStr">
        <is>
          <t>iPhone</t>
        </is>
      </c>
      <c r="B4" s="74" t="n">
        <v>201183</v>
      </c>
      <c r="C4" s="90" t="n">
        <v>0</v>
      </c>
      <c r="D4" s="74" t="n">
        <v>0</v>
      </c>
      <c r="E4" s="73" t="n">
        <v>0</v>
      </c>
      <c r="F4" s="74" t="n">
        <v>0</v>
      </c>
      <c r="G4" s="74" t="n">
        <v>0</v>
      </c>
      <c r="I4" t="inlineStr">
        <is>
          <t>iPhone</t>
        </is>
      </c>
      <c r="J4" t="n">
        <v>0</v>
      </c>
    </row>
    <row r="5">
      <c r="A5" s="58" t="inlineStr">
        <is>
          <t>Services</t>
        </is>
      </c>
      <c r="B5" s="81" t="n">
        <v>96169</v>
      </c>
      <c r="C5" s="91" t="n">
        <v>0</v>
      </c>
      <c r="D5" s="81" t="n">
        <v>0</v>
      </c>
      <c r="E5" s="92" t="n">
        <v>0</v>
      </c>
      <c r="F5" s="81" t="n">
        <v>0</v>
      </c>
      <c r="G5" s="81" t="n">
        <v>0</v>
      </c>
      <c r="I5" t="inlineStr">
        <is>
          <t>Services</t>
        </is>
      </c>
      <c r="J5" t="n">
        <v>0</v>
      </c>
    </row>
    <row r="6">
      <c r="A6" s="55" t="inlineStr">
        <is>
          <t>Mac</t>
        </is>
      </c>
      <c r="B6" s="74" t="n">
        <v>29984</v>
      </c>
      <c r="C6" s="90" t="n">
        <v>0</v>
      </c>
      <c r="D6" s="74" t="n">
        <v>0</v>
      </c>
      <c r="E6" s="73" t="n">
        <v>0</v>
      </c>
      <c r="F6" s="74" t="n">
        <v>0</v>
      </c>
      <c r="G6" s="74" t="n">
        <v>0</v>
      </c>
      <c r="I6" t="inlineStr">
        <is>
          <t>Mac</t>
        </is>
      </c>
      <c r="J6" t="n">
        <v>0</v>
      </c>
    </row>
    <row r="7">
      <c r="A7" s="58" t="inlineStr">
        <is>
          <t>iPad</t>
        </is>
      </c>
      <c r="B7" s="81" t="n">
        <v>26694</v>
      </c>
      <c r="C7" s="91" t="n">
        <v>0</v>
      </c>
      <c r="D7" s="81" t="n">
        <v>0</v>
      </c>
      <c r="E7" s="92" t="n">
        <v>0</v>
      </c>
      <c r="F7" s="81" t="n">
        <v>0</v>
      </c>
      <c r="G7" s="81" t="n">
        <v>0</v>
      </c>
      <c r="I7" t="inlineStr">
        <is>
          <t>iPad</t>
        </is>
      </c>
      <c r="J7" t="n">
        <v>0</v>
      </c>
    </row>
    <row r="8">
      <c r="A8" s="55" t="inlineStr">
        <is>
          <t>Wearables</t>
        </is>
      </c>
      <c r="B8" s="74" t="n">
        <v>37005</v>
      </c>
      <c r="C8" s="90" t="n">
        <v>0</v>
      </c>
      <c r="D8" s="74" t="n">
        <v>0</v>
      </c>
      <c r="E8" s="73" t="n">
        <v>0</v>
      </c>
      <c r="F8" s="74" t="n">
        <v>0</v>
      </c>
      <c r="G8" s="74" t="n">
        <v>0</v>
      </c>
      <c r="I8" t="inlineStr">
        <is>
          <t>Wearables</t>
        </is>
      </c>
      <c r="J8" t="n">
        <v>0</v>
      </c>
    </row>
    <row r="9">
      <c r="A9" s="88" t="inlineStr">
        <is>
          <t>TOTAL SOTP EV</t>
        </is>
      </c>
      <c r="D9" s="93" t="n">
        <v>5875.5935</v>
      </c>
    </row>
    <row r="10"/>
    <row r="11">
      <c r="A11" s="63" t="inlineStr">
        <is>
          <t>SOTP → EQUITY VALUE RECONCILIATION</t>
        </is>
      </c>
    </row>
    <row r="12">
      <c r="A12" s="78" t="inlineStr">
        <is>
          <t>SOTP Enterprise Value ($B)</t>
        </is>
      </c>
      <c r="B12" s="94" t="n">
        <v>5875.5935</v>
      </c>
    </row>
    <row r="13">
      <c r="A13" s="78" t="inlineStr">
        <is>
          <t>(+) Cash ($B)</t>
        </is>
      </c>
      <c r="B13" s="94" t="n">
        <v>35.934</v>
      </c>
    </row>
    <row r="14">
      <c r="A14" s="78" t="inlineStr">
        <is>
          <t>(-) Debt ($B)</t>
        </is>
      </c>
      <c r="B14" s="94" t="n">
        <v>-101.304</v>
      </c>
    </row>
    <row r="15">
      <c r="A15" s="78">
        <f> Equity Value ($B)</f>
        <v/>
      </c>
      <c r="B15" s="95" t="n">
        <v>5810.2235</v>
      </c>
    </row>
    <row r="16">
      <c r="A16" s="78" t="inlineStr">
        <is>
          <t>Shares Outstanding (M)</t>
        </is>
      </c>
      <c r="B16" s="94" t="n">
        <v>14773.26</v>
      </c>
    </row>
    <row r="17">
      <c r="A17" s="78" t="inlineStr">
        <is>
          <t>SOTP Equity Value / Share</t>
        </is>
      </c>
      <c r="B17" s="96" t="n">
        <v>393.2932541632653</v>
      </c>
    </row>
  </sheetData>
  <mergeCells count="2">
    <mergeCell ref="A11:G11"/>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tableParts count="1">
    <tablePart xmlns:r="http://schemas.openxmlformats.org/officeDocument/2006/relationships" r:id="rId2"/>
  </tableParts>
</worksheet>
</file>

<file path=xl/worksheets/sheet9.xml><?xml version="1.0" encoding="utf-8"?>
<worksheet xmlns="http://schemas.openxmlformats.org/spreadsheetml/2006/main">
  <sheetPr>
    <tabColor rgb="000071E3"/>
    <outlinePr summaryBelow="1" summaryRight="1"/>
    <pageSetUpPr fitToPage="1"/>
  </sheetPr>
  <dimension ref="A1:S58"/>
  <sheetViews>
    <sheetView showGridLines="0" workbookViewId="0">
      <pane ySplit="2" topLeftCell="A3" activePane="bottomLeft" state="frozen"/>
      <selection pane="bottomLeft" activeCell="A1" sqref="A1"/>
    </sheetView>
  </sheetViews>
  <sheetFormatPr baseColWidth="8" defaultRowHeight="15"/>
  <cols>
    <col width="30" customWidth="1" min="1" max="1"/>
    <col width="18" customWidth="1" min="2" max="2"/>
    <col width="18" customWidth="1" min="3" max="3"/>
    <col width="14" customWidth="1" min="4" max="4"/>
    <col width="34" customWidth="1" min="5" max="5"/>
  </cols>
  <sheetData>
    <row r="1" ht="32" customHeight="1">
      <c r="A1" s="21" t="inlineStr">
        <is>
          <t xml:space="preserve">  Waterfall &amp; Tornado Analysis    |    Valuation bridge and key value drivers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VALUATION WATERFALL</t>
        </is>
      </c>
      <c r="H3" t="inlineStr">
        <is>
          <t>Driver</t>
        </is>
      </c>
      <c r="I3" t="inlineStr">
        <is>
          <t>Bear Impact</t>
        </is>
      </c>
      <c r="J3" t="inlineStr">
        <is>
          <t>Bull Impact</t>
        </is>
      </c>
    </row>
    <row r="4">
      <c r="A4" s="23" t="inlineStr">
        <is>
          <t>Method</t>
        </is>
      </c>
      <c r="B4" s="23" t="inlineStr">
        <is>
          <t>Contribution</t>
        </is>
      </c>
      <c r="C4" s="23" t="inlineStr">
        <is>
          <t>Running Value</t>
        </is>
      </c>
      <c r="D4" s="23" t="inlineStr">
        <is>
          <t>Weight</t>
        </is>
      </c>
      <c r="E4" s="23" t="inlineStr">
        <is>
          <t>Note</t>
        </is>
      </c>
      <c r="H4" t="inlineStr"/>
      <c r="I4" t="n">
        <v>0</v>
      </c>
      <c r="J4" t="n">
        <v>0</v>
      </c>
    </row>
    <row r="5">
      <c r="A5" s="55" t="inlineStr">
        <is>
          <t>DCF (bear)</t>
        </is>
      </c>
      <c r="B5" s="64" t="n">
        <v>7.714191438300741</v>
      </c>
      <c r="C5" s="64" t="n">
        <v>7.714191438300741</v>
      </c>
      <c r="D5" s="97" t="n">
        <v>0.08333333333333333</v>
      </c>
      <c r="E5" s="57" t="inlineStr">
        <is>
          <t>Weight: 8% of blend</t>
        </is>
      </c>
      <c r="H5" t="inlineStr"/>
      <c r="I5" t="n">
        <v>0</v>
      </c>
      <c r="J5" t="n">
        <v>0</v>
      </c>
    </row>
    <row r="6">
      <c r="A6" s="58" t="inlineStr">
        <is>
          <t>DCF (base)</t>
        </is>
      </c>
      <c r="B6" s="66" t="n">
        <v>13.14037135038761</v>
      </c>
      <c r="C6" s="66" t="n">
        <v>20.85456278868836</v>
      </c>
      <c r="D6" s="98" t="n">
        <v>0.08333333333333333</v>
      </c>
      <c r="E6" s="59" t="inlineStr">
        <is>
          <t>Weight: 8% of blend</t>
        </is>
      </c>
      <c r="H6" t="inlineStr"/>
      <c r="I6" t="n">
        <v>0</v>
      </c>
      <c r="J6" t="n">
        <v>0</v>
      </c>
    </row>
    <row r="7">
      <c r="A7" s="55" t="inlineStr">
        <is>
          <t>DCF (bull)</t>
        </is>
      </c>
      <c r="B7" s="64" t="n">
        <v>20.30223148908953</v>
      </c>
      <c r="C7" s="64" t="n">
        <v>41.15679427777789</v>
      </c>
      <c r="D7" s="97" t="n">
        <v>0.08333333333333333</v>
      </c>
      <c r="E7" s="57" t="inlineStr">
        <is>
          <t>Weight: 8% of blend</t>
        </is>
      </c>
      <c r="H7" t="inlineStr"/>
      <c r="I7" t="n">
        <v>0</v>
      </c>
      <c r="J7" t="n">
        <v>0</v>
      </c>
    </row>
    <row r="8">
      <c r="A8" s="58" t="inlineStr">
        <is>
          <t>EV/EBITDA</t>
        </is>
      </c>
      <c r="B8" s="66" t="n">
        <v>14.67243181261279</v>
      </c>
      <c r="C8" s="66" t="n">
        <v>55.82922609039068</v>
      </c>
      <c r="D8" s="98" t="n">
        <v>0.08333333333333333</v>
      </c>
      <c r="E8" s="59" t="inlineStr">
        <is>
          <t>Weight: 8% of blend</t>
        </is>
      </c>
      <c r="H8" t="inlineStr"/>
      <c r="I8" t="n">
        <v>0</v>
      </c>
      <c r="J8" t="n">
        <v>0</v>
      </c>
    </row>
    <row r="9">
      <c r="A9" s="55" t="inlineStr">
        <is>
          <t>EV/Revenue</t>
        </is>
      </c>
      <c r="B9" s="64" t="n">
        <v>24.99748701369908</v>
      </c>
      <c r="C9" s="64" t="n">
        <v>80.82671310408975</v>
      </c>
      <c r="D9" s="97" t="n">
        <v>0.08333333333333333</v>
      </c>
      <c r="E9" s="57" t="inlineStr">
        <is>
          <t>Weight: 8% of blend</t>
        </is>
      </c>
      <c r="H9" t="inlineStr"/>
      <c r="I9" t="n">
        <v>0</v>
      </c>
      <c r="J9" t="n">
        <v>0</v>
      </c>
    </row>
    <row r="10">
      <c r="A10" s="58" t="inlineStr">
        <is>
          <t>P/E</t>
        </is>
      </c>
      <c r="B10" s="66" t="n">
        <v>18.08318543097461</v>
      </c>
      <c r="C10" s="66" t="n">
        <v>98.90989853506436</v>
      </c>
      <c r="D10" s="98" t="n">
        <v>0.08333333333333333</v>
      </c>
      <c r="E10" s="59" t="inlineStr">
        <is>
          <t>Weight: 8% of blend</t>
        </is>
      </c>
    </row>
    <row r="11">
      <c r="A11" s="55" t="inlineStr">
        <is>
          <t>PT EV/Revenue</t>
        </is>
      </c>
      <c r="B11" s="64" t="n">
        <v>13.52754063761147</v>
      </c>
      <c r="C11" s="64" t="n">
        <v>112.4374391726758</v>
      </c>
      <c r="D11" s="97" t="n">
        <v>0.08333333333333333</v>
      </c>
      <c r="E11" s="57" t="inlineStr">
        <is>
          <t>Weight: 8% of blend</t>
        </is>
      </c>
    </row>
    <row r="12">
      <c r="A12" s="58" t="inlineStr">
        <is>
          <t>PT EV/EBITDA</t>
        </is>
      </c>
      <c r="B12" s="66" t="n">
        <v>14.90032836354332</v>
      </c>
      <c r="C12" s="66" t="n">
        <v>127.3377675362191</v>
      </c>
      <c r="D12" s="98" t="n">
        <v>0.08333333333333333</v>
      </c>
      <c r="E12" s="59" t="inlineStr">
        <is>
          <t>Weight: 8% of blend</t>
        </is>
      </c>
    </row>
    <row r="13">
      <c r="A13" s="55" t="inlineStr">
        <is>
          <t>LBO Floor</t>
        </is>
      </c>
      <c r="B13" s="64" t="n">
        <v>6.836896527915977</v>
      </c>
      <c r="C13" s="64" t="n">
        <v>134.1746640641351</v>
      </c>
      <c r="D13" s="97" t="n">
        <v>0.08333333333333333</v>
      </c>
      <c r="E13" s="57" t="inlineStr">
        <is>
          <t>Weight: 8% of blend</t>
        </is>
      </c>
    </row>
    <row r="14">
      <c r="A14" s="58" t="inlineStr">
        <is>
          <t>Blended (Low)</t>
        </is>
      </c>
      <c r="B14" s="66" t="n">
        <v>6.836896527915977</v>
      </c>
      <c r="C14" s="66" t="n">
        <v>141.0115605920511</v>
      </c>
      <c r="D14" s="98" t="n">
        <v>0.08333333333333333</v>
      </c>
      <c r="E14" s="59" t="inlineStr">
        <is>
          <t>Weight: 8% of blend</t>
        </is>
      </c>
    </row>
    <row r="15">
      <c r="A15" s="55" t="inlineStr">
        <is>
          <t>Blended (Base)</t>
        </is>
      </c>
      <c r="B15" s="64" t="n">
        <v>17.46856694613676</v>
      </c>
      <c r="C15" s="64" t="n">
        <v>158.4801275381878</v>
      </c>
      <c r="D15" s="97" t="n">
        <v>0.08333333333333333</v>
      </c>
      <c r="E15" s="57" t="inlineStr">
        <is>
          <t>Weight: 8% of blend</t>
        </is>
      </c>
    </row>
    <row r="16">
      <c r="A16" s="58" t="inlineStr">
        <is>
          <t>Blended (High)</t>
        </is>
      </c>
      <c r="B16" s="66" t="n">
        <v>24.99748701369908</v>
      </c>
      <c r="C16" s="66" t="n">
        <v>183.4776145518869</v>
      </c>
      <c r="D16" s="98" t="n">
        <v>0.08333333333333333</v>
      </c>
      <c r="E16" s="59" t="inlineStr">
        <is>
          <t>Weight: 8% of blend</t>
        </is>
      </c>
    </row>
    <row r="17">
      <c r="A17" s="88" t="inlineStr">
        <is>
          <t>BLENDED TARGET</t>
        </is>
      </c>
      <c r="C17" s="99" t="n">
        <v>183.4776145518869</v>
      </c>
    </row>
    <row r="18"/>
    <row r="19"/>
    <row r="20">
      <c r="A20" s="63" t="inlineStr">
        <is>
          <t>SENSITIVITY TORNADO</t>
        </is>
      </c>
    </row>
    <row r="21">
      <c r="A21" s="23" t="inlineStr">
        <is>
          <t>Driver</t>
        </is>
      </c>
      <c r="B21" s="23" t="inlineStr">
        <is>
          <t>Bear Impact</t>
        </is>
      </c>
      <c r="C21" s="23" t="inlineStr">
        <is>
          <t>Bull Impact</t>
        </is>
      </c>
      <c r="D21" s="23" t="inlineStr">
        <is>
          <t>Swing</t>
        </is>
      </c>
      <c r="E21" s="23" t="inlineStr">
        <is>
          <t>Key Assumption</t>
        </is>
      </c>
    </row>
    <row r="22">
      <c r="A22" s="55" t="inlineStr"/>
      <c r="B22" s="64" t="n">
        <v>0</v>
      </c>
      <c r="C22" s="64" t="n">
        <v>0</v>
      </c>
      <c r="D22" s="64" t="n">
        <v>0</v>
      </c>
      <c r="E22" s="55" t="inlineStr"/>
    </row>
    <row r="23">
      <c r="A23" s="58" t="inlineStr"/>
      <c r="B23" s="66" t="n">
        <v>0</v>
      </c>
      <c r="C23" s="66" t="n">
        <v>0</v>
      </c>
      <c r="D23" s="66" t="n">
        <v>0</v>
      </c>
      <c r="E23" s="58" t="inlineStr"/>
    </row>
    <row r="24">
      <c r="A24" s="55" t="inlineStr"/>
      <c r="B24" s="64" t="n">
        <v>0</v>
      </c>
      <c r="C24" s="64" t="n">
        <v>0</v>
      </c>
      <c r="D24" s="64" t="n">
        <v>0</v>
      </c>
      <c r="E24" s="55" t="inlineStr"/>
    </row>
    <row r="25">
      <c r="A25" s="58" t="inlineStr"/>
      <c r="B25" s="66" t="n">
        <v>0</v>
      </c>
      <c r="C25" s="66" t="n">
        <v>0</v>
      </c>
      <c r="D25" s="66" t="n">
        <v>0</v>
      </c>
      <c r="E25" s="58" t="inlineStr"/>
    </row>
    <row r="26">
      <c r="A26" s="55" t="inlineStr"/>
      <c r="B26" s="64" t="n">
        <v>0</v>
      </c>
      <c r="C26" s="64" t="n">
        <v>0</v>
      </c>
      <c r="D26" s="64" t="n">
        <v>0</v>
      </c>
      <c r="E26" s="55" t="inlineStr"/>
    </row>
    <row r="27">
      <c r="A27" s="58" t="inlineStr"/>
      <c r="B27" s="66" t="n">
        <v>0</v>
      </c>
      <c r="C27" s="66" t="n">
        <v>0</v>
      </c>
      <c r="D27" s="66" t="n">
        <v>0</v>
      </c>
      <c r="E27" s="58" t="inlineStr"/>
    </row>
    <row r="28"/>
    <row r="29"/>
    <row r="30"/>
    <row r="31"/>
    <row r="32"/>
    <row r="33"/>
    <row r="34"/>
    <row r="35"/>
    <row r="36"/>
    <row r="37"/>
    <row r="38"/>
    <row r="39"/>
    <row r="40"/>
    <row r="41"/>
    <row r="42"/>
    <row r="43"/>
    <row r="44"/>
    <row r="45"/>
    <row r="46"/>
    <row r="47"/>
    <row r="48"/>
    <row r="49"/>
    <row r="50">
      <c r="H50" t="inlineStr">
        <is>
          <t>Method</t>
        </is>
      </c>
      <c r="I50" t="inlineStr">
        <is>
          <t>Base</t>
        </is>
      </c>
      <c r="J50" t="inlineStr">
        <is>
          <t>Contribution</t>
        </is>
      </c>
    </row>
    <row r="51">
      <c r="H51" t="inlineStr">
        <is>
          <t>DCF (bear)</t>
        </is>
      </c>
      <c r="I51" t="n">
        <v>0</v>
      </c>
      <c r="J51" t="n">
        <v>7.71</v>
      </c>
    </row>
    <row r="52">
      <c r="H52" t="inlineStr">
        <is>
          <t>DCF (base)</t>
        </is>
      </c>
      <c r="I52" t="n">
        <v>7.71</v>
      </c>
      <c r="J52" t="n">
        <v>13.14</v>
      </c>
    </row>
    <row r="53">
      <c r="H53" t="inlineStr">
        <is>
          <t>DCF (bull)</t>
        </is>
      </c>
      <c r="I53" t="n">
        <v>20.85</v>
      </c>
      <c r="J53" t="n">
        <v>20.3</v>
      </c>
    </row>
    <row r="54">
      <c r="H54" t="inlineStr">
        <is>
          <t>EV/EBITDA</t>
        </is>
      </c>
      <c r="I54" t="n">
        <v>41.16</v>
      </c>
      <c r="J54" t="n">
        <v>14.67</v>
      </c>
    </row>
    <row r="55">
      <c r="H55" t="inlineStr">
        <is>
          <t>EV/Revenue</t>
        </is>
      </c>
      <c r="I55" t="n">
        <v>55.83</v>
      </c>
      <c r="J55" t="n">
        <v>25</v>
      </c>
    </row>
    <row r="56">
      <c r="H56" t="inlineStr">
        <is>
          <t>P/E</t>
        </is>
      </c>
      <c r="I56" t="n">
        <v>80.83</v>
      </c>
      <c r="J56" t="n">
        <v>18.08</v>
      </c>
    </row>
    <row r="57">
      <c r="H57" t="inlineStr">
        <is>
          <t>PT EV/Revenue</t>
        </is>
      </c>
      <c r="I57" t="n">
        <v>98.91</v>
      </c>
      <c r="J57" t="n">
        <v>13.53</v>
      </c>
    </row>
    <row r="58">
      <c r="H58" t="inlineStr">
        <is>
          <t>PT EV/EBITDA</t>
        </is>
      </c>
      <c r="I58" t="n">
        <v>112.44</v>
      </c>
      <c r="J58" t="n">
        <v>14.9</v>
      </c>
    </row>
  </sheetData>
  <mergeCells count="3">
    <mergeCell ref="A3:F3"/>
    <mergeCell ref="A20:F20"/>
    <mergeCell ref="A1:L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1"/>
  <tableParts count="1">
    <tablePart xmlns:r="http://schemas.openxmlformats.org/officeDocument/2006/relationships" r:id="rId12"/>
  </tableParts>
</worksheet>
</file>

<file path=xl/worksheets/sheet10.xml><?xml version="1.0" encoding="utf-8"?>
<worksheet xmlns="http://schemas.openxmlformats.org/spreadsheetml/2006/main">
  <sheetPr>
    <tabColor rgb="000071E3"/>
    <outlinePr summaryBelow="1" summaryRight="1"/>
    <pageSetUpPr fitToPage="1"/>
  </sheetPr>
  <dimension ref="A1:S47"/>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0" customWidth="1" min="1" max="1"/>
    <col width="18" customWidth="1" min="2" max="2"/>
    <col width="12" customWidth="1" min="3" max="3"/>
    <col width="12" customWidth="1" min="4" max="4"/>
    <col width="14" customWidth="1" min="5" max="5"/>
    <col width="14" customWidth="1" min="6" max="6"/>
    <col width="12" customWidth="1" min="7" max="7"/>
    <col width="12" customWidth="1" min="8" max="8"/>
    <col width="12" customWidth="1" min="9" max="9"/>
    <col width="14" customWidth="1" min="10" max="10"/>
  </cols>
  <sheetData>
    <row r="1" ht="32" customHeight="1">
      <c r="A1" s="21" t="inlineStr">
        <is>
          <t xml:space="preserve">   — DCF Scenario Analysis    |    v8 Live Formulas — edit Assumptions sheet to recalculate</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100" t="inlineStr">
        <is>
          <t xml:space="preserve">  ★  All cells below contain live Excel formulas. Go to Assumptions → edit yellow cells → all three scenarios update automatically.</t>
        </is>
      </c>
    </row>
    <row r="4">
      <c r="A4" s="101" t="inlineStr">
        <is>
          <t xml:space="preserve">  BEAR CASE  —  Live Formula Model</t>
        </is>
      </c>
    </row>
    <row r="5">
      <c r="A5" s="23" t="inlineStr">
        <is>
          <t>Year</t>
        </is>
      </c>
      <c r="B5" s="23" t="inlineStr">
        <is>
          <t>Revenue ($M)</t>
        </is>
      </c>
      <c r="C5" s="23" t="inlineStr">
        <is>
          <t>Rev Growth</t>
        </is>
      </c>
      <c r="D5" s="23" t="inlineStr">
        <is>
          <t>EBIT Margin</t>
        </is>
      </c>
      <c r="E5" s="23" t="inlineStr">
        <is>
          <t>EBIT ($M)</t>
        </is>
      </c>
      <c r="F5" s="23" t="inlineStr">
        <is>
          <t>NOPAT ($M)</t>
        </is>
      </c>
      <c r="G5" s="23" t="inlineStr">
        <is>
          <t>D&amp;A ($M)</t>
        </is>
      </c>
      <c r="H5" s="23" t="inlineStr">
        <is>
          <t>CapEx ($M)</t>
        </is>
      </c>
      <c r="I5" s="23" t="inlineStr">
        <is>
          <t>ΔNWC ($M)</t>
        </is>
      </c>
      <c r="J5" s="23" t="inlineStr">
        <is>
          <t>FCF ($M)</t>
        </is>
      </c>
    </row>
    <row r="6">
      <c r="A6" s="80" t="inlineStr">
        <is>
          <t>Year 1</t>
        </is>
      </c>
      <c r="B6" s="102">
        <f>'Assumptions'!$B$28*(1+'Assumptions'!$B$7*'Assumptions'!$B$17)/1000000</f>
        <v/>
      </c>
      <c r="C6" s="103">
        <f>'Assumptions'!$B$7*'Assumptions'!$B$17</f>
        <v/>
      </c>
      <c r="D6" s="103">
        <f>'Assumptions'!$B$9</f>
        <v/>
      </c>
      <c r="E6" s="102">
        <f>B6*'Assumptions'!$B$9</f>
        <v/>
      </c>
      <c r="F6" s="102">
        <f>E6*(1-'Assumptions'!$B$12)</f>
        <v/>
      </c>
      <c r="G6" s="104">
        <f>B6*'Assumptions'!$B$10</f>
        <v/>
      </c>
      <c r="H6" s="105">
        <f>-B6*'Assumptions'!$B$11</f>
        <v/>
      </c>
      <c r="I6" s="105">
        <f>-B6*'Assumptions'!$B$13</f>
        <v/>
      </c>
      <c r="J6" s="106">
        <f>F6+G6+H6+I6</f>
        <v/>
      </c>
    </row>
    <row r="7">
      <c r="A7" s="78" t="inlineStr">
        <is>
          <t>Year 2</t>
        </is>
      </c>
      <c r="B7" s="107">
        <f>B6*(1+'Assumptions'!$B$7*'Assumptions'!$B$17)</f>
        <v/>
      </c>
      <c r="C7" s="108">
        <f>'Assumptions'!$B$7*'Assumptions'!$B$17</f>
        <v/>
      </c>
      <c r="D7" s="108">
        <f>'Assumptions'!$B$9</f>
        <v/>
      </c>
      <c r="E7" s="107">
        <f>B7*'Assumptions'!$B$9</f>
        <v/>
      </c>
      <c r="F7" s="107">
        <f>E7*(1-'Assumptions'!$B$12)</f>
        <v/>
      </c>
      <c r="G7" s="109">
        <f>B7*'Assumptions'!$B$10</f>
        <v/>
      </c>
      <c r="H7" s="110">
        <f>-B7*'Assumptions'!$B$11</f>
        <v/>
      </c>
      <c r="I7" s="110">
        <f>-B7*'Assumptions'!$B$13</f>
        <v/>
      </c>
      <c r="J7" s="106">
        <f>F7+G7+H7+I7</f>
        <v/>
      </c>
    </row>
    <row r="8">
      <c r="A8" s="80" t="inlineStr">
        <is>
          <t>Year 3</t>
        </is>
      </c>
      <c r="B8" s="102">
        <f>B7*(1+'Assumptions'!$B$7*'Assumptions'!$B$17)</f>
        <v/>
      </c>
      <c r="C8" s="103">
        <f>'Assumptions'!$B$7*'Assumptions'!$B$17</f>
        <v/>
      </c>
      <c r="D8" s="103">
        <f>'Assumptions'!$B$9</f>
        <v/>
      </c>
      <c r="E8" s="102">
        <f>B8*'Assumptions'!$B$9</f>
        <v/>
      </c>
      <c r="F8" s="102">
        <f>E8*(1-'Assumptions'!$B$12)</f>
        <v/>
      </c>
      <c r="G8" s="104">
        <f>B8*'Assumptions'!$B$10</f>
        <v/>
      </c>
      <c r="H8" s="105">
        <f>-B8*'Assumptions'!$B$11</f>
        <v/>
      </c>
      <c r="I8" s="105">
        <f>-B8*'Assumptions'!$B$13</f>
        <v/>
      </c>
      <c r="J8" s="106">
        <f>F8+G8+H8+I8</f>
        <v/>
      </c>
    </row>
    <row r="9">
      <c r="A9" s="78" t="inlineStr">
        <is>
          <t>Year 4</t>
        </is>
      </c>
      <c r="B9" s="107">
        <f>B8*(1+'Assumptions'!$B$8*'Assumptions'!$B$17)</f>
        <v/>
      </c>
      <c r="C9" s="108">
        <f>'Assumptions'!$B$8*'Assumptions'!$B$17</f>
        <v/>
      </c>
      <c r="D9" s="108">
        <f>'Assumptions'!$B$9</f>
        <v/>
      </c>
      <c r="E9" s="107">
        <f>B9*'Assumptions'!$B$9</f>
        <v/>
      </c>
      <c r="F9" s="107">
        <f>E9*(1-'Assumptions'!$B$12)</f>
        <v/>
      </c>
      <c r="G9" s="109">
        <f>B9*'Assumptions'!$B$10</f>
        <v/>
      </c>
      <c r="H9" s="110">
        <f>-B9*'Assumptions'!$B$11</f>
        <v/>
      </c>
      <c r="I9" s="110">
        <f>-B9*'Assumptions'!$B$13</f>
        <v/>
      </c>
      <c r="J9" s="106">
        <f>F9+G9+H9+I9</f>
        <v/>
      </c>
    </row>
    <row r="10">
      <c r="A10" s="80" t="inlineStr">
        <is>
          <t>Year 5</t>
        </is>
      </c>
      <c r="B10" s="102">
        <f>B9*(1+'Assumptions'!$B$8*'Assumptions'!$B$17)</f>
        <v/>
      </c>
      <c r="C10" s="103">
        <f>'Assumptions'!$B$8*'Assumptions'!$B$17</f>
        <v/>
      </c>
      <c r="D10" s="103">
        <f>'Assumptions'!$B$9</f>
        <v/>
      </c>
      <c r="E10" s="102">
        <f>B10*'Assumptions'!$B$9</f>
        <v/>
      </c>
      <c r="F10" s="102">
        <f>E10*(1-'Assumptions'!$B$12)</f>
        <v/>
      </c>
      <c r="G10" s="104">
        <f>B10*'Assumptions'!$B$10</f>
        <v/>
      </c>
      <c r="H10" s="105">
        <f>-B10*'Assumptions'!$B$11</f>
        <v/>
      </c>
      <c r="I10" s="105">
        <f>-B10*'Assumptions'!$B$13</f>
        <v/>
      </c>
      <c r="J10" s="106">
        <f>F10+G10+H10+I10</f>
        <v/>
      </c>
    </row>
    <row r="11">
      <c r="L11" s="111">
        <f>'Assumptions'!$B$5+'Assumptions'!$B$19</f>
        <v/>
      </c>
    </row>
    <row r="12">
      <c r="A12" s="112" t="inlineStr">
        <is>
          <t>Scenario WACC</t>
        </is>
      </c>
      <c r="B12" s="113">
        <f>L11</f>
        <v/>
      </c>
    </row>
    <row r="13">
      <c r="A13" s="114" t="inlineStr">
        <is>
          <t>Terminal Value ($M)</t>
        </is>
      </c>
      <c r="B13" s="115">
        <f>IF(L11&gt;'Assumptions'!$B$6,J10*(1+'Assumptions'!$B$6)/(L11-'Assumptions'!$B$6),0)</f>
        <v/>
      </c>
    </row>
    <row r="14">
      <c r="A14" s="88" t="inlineStr">
        <is>
          <t>Enterprise Value ($M)</t>
        </is>
      </c>
      <c r="B14" s="116">
        <f>J6/(1+L11)^1+J7/(1+L11)^2+J8/(1+L11)^3+J9/(1+L11)^4+J10/(1+L11)^5+B13/(1+L11)^5</f>
        <v/>
      </c>
    </row>
    <row r="15">
      <c r="A15" s="114" t="inlineStr">
        <is>
          <t>Equity Value ($M)</t>
        </is>
      </c>
      <c r="B15" s="115">
        <f>B14+'Assumptions'!$B$30/1000000-'Assumptions'!$B$31/1000000</f>
        <v/>
      </c>
    </row>
    <row r="16">
      <c r="A16" s="112" t="inlineStr">
        <is>
          <t>Equity Value Per Share</t>
        </is>
      </c>
      <c r="B16" s="117">
        <f>IF('Assumptions'!$B$29&gt;0,B15*1000000/'Assumptions'!$B$29,0)</f>
        <v/>
      </c>
    </row>
    <row r="17">
      <c r="A17" s="114" t="inlineStr">
        <is>
          <t>Implied Upside / (Downside)</t>
        </is>
      </c>
      <c r="B17" s="118">
        <f>IF('Assumptions'!$B$32&gt;0,(B16-'Assumptions'!$B$32)/'Assumptions'!$B$32,0)</f>
        <v/>
      </c>
    </row>
    <row r="19">
      <c r="A19" s="63" t="inlineStr">
        <is>
          <t xml:space="preserve">  BASE CASE  —  Live Formula Model</t>
        </is>
      </c>
    </row>
    <row r="20">
      <c r="A20" s="23" t="inlineStr">
        <is>
          <t>Year</t>
        </is>
      </c>
      <c r="B20" s="23" t="inlineStr">
        <is>
          <t>Revenue ($M)</t>
        </is>
      </c>
      <c r="C20" s="23" t="inlineStr">
        <is>
          <t>Rev Growth</t>
        </is>
      </c>
      <c r="D20" s="23" t="inlineStr">
        <is>
          <t>EBIT Margin</t>
        </is>
      </c>
      <c r="E20" s="23" t="inlineStr">
        <is>
          <t>EBIT ($M)</t>
        </is>
      </c>
      <c r="F20" s="23" t="inlineStr">
        <is>
          <t>NOPAT ($M)</t>
        </is>
      </c>
      <c r="G20" s="23" t="inlineStr">
        <is>
          <t>D&amp;A ($M)</t>
        </is>
      </c>
      <c r="H20" s="23" t="inlineStr">
        <is>
          <t>CapEx ($M)</t>
        </is>
      </c>
      <c r="I20" s="23" t="inlineStr">
        <is>
          <t>ΔNWC ($M)</t>
        </is>
      </c>
      <c r="J20" s="23" t="inlineStr">
        <is>
          <t>FCF ($M)</t>
        </is>
      </c>
    </row>
    <row r="21">
      <c r="A21" s="80" t="inlineStr">
        <is>
          <t>Year 1</t>
        </is>
      </c>
      <c r="B21" s="102">
        <f>'Assumptions'!$B$28*(1+'Assumptions'!$B$7*1)/1000000</f>
        <v/>
      </c>
      <c r="C21" s="103">
        <f>'Assumptions'!$B$7*1</f>
        <v/>
      </c>
      <c r="D21" s="103">
        <f>'Assumptions'!$B$9</f>
        <v/>
      </c>
      <c r="E21" s="102">
        <f>B21*'Assumptions'!$B$9</f>
        <v/>
      </c>
      <c r="F21" s="102">
        <f>E21*(1-'Assumptions'!$B$12)</f>
        <v/>
      </c>
      <c r="G21" s="104">
        <f>B21*'Assumptions'!$B$10</f>
        <v/>
      </c>
      <c r="H21" s="105">
        <f>-B21*'Assumptions'!$B$11</f>
        <v/>
      </c>
      <c r="I21" s="105">
        <f>-B21*'Assumptions'!$B$13</f>
        <v/>
      </c>
      <c r="J21" s="106">
        <f>F21+G21+H21+I21</f>
        <v/>
      </c>
    </row>
    <row r="22">
      <c r="A22" s="78" t="inlineStr">
        <is>
          <t>Year 2</t>
        </is>
      </c>
      <c r="B22" s="107">
        <f>B21*(1+'Assumptions'!$B$7*1)</f>
        <v/>
      </c>
      <c r="C22" s="108">
        <f>'Assumptions'!$B$7*1</f>
        <v/>
      </c>
      <c r="D22" s="108">
        <f>'Assumptions'!$B$9</f>
        <v/>
      </c>
      <c r="E22" s="107">
        <f>B22*'Assumptions'!$B$9</f>
        <v/>
      </c>
      <c r="F22" s="107">
        <f>E22*(1-'Assumptions'!$B$12)</f>
        <v/>
      </c>
      <c r="G22" s="109">
        <f>B22*'Assumptions'!$B$10</f>
        <v/>
      </c>
      <c r="H22" s="110">
        <f>-B22*'Assumptions'!$B$11</f>
        <v/>
      </c>
      <c r="I22" s="110">
        <f>-B22*'Assumptions'!$B$13</f>
        <v/>
      </c>
      <c r="J22" s="106">
        <f>F22+G22+H22+I22</f>
        <v/>
      </c>
    </row>
    <row r="23">
      <c r="A23" s="80" t="inlineStr">
        <is>
          <t>Year 3</t>
        </is>
      </c>
      <c r="B23" s="102">
        <f>B22*(1+'Assumptions'!$B$7*1)</f>
        <v/>
      </c>
      <c r="C23" s="103">
        <f>'Assumptions'!$B$7*1</f>
        <v/>
      </c>
      <c r="D23" s="103">
        <f>'Assumptions'!$B$9</f>
        <v/>
      </c>
      <c r="E23" s="102">
        <f>B23*'Assumptions'!$B$9</f>
        <v/>
      </c>
      <c r="F23" s="102">
        <f>E23*(1-'Assumptions'!$B$12)</f>
        <v/>
      </c>
      <c r="G23" s="104">
        <f>B23*'Assumptions'!$B$10</f>
        <v/>
      </c>
      <c r="H23" s="105">
        <f>-B23*'Assumptions'!$B$11</f>
        <v/>
      </c>
      <c r="I23" s="105">
        <f>-B23*'Assumptions'!$B$13</f>
        <v/>
      </c>
      <c r="J23" s="106">
        <f>F23+G23+H23+I23</f>
        <v/>
      </c>
    </row>
    <row r="24">
      <c r="A24" s="78" t="inlineStr">
        <is>
          <t>Year 4</t>
        </is>
      </c>
      <c r="B24" s="107">
        <f>B23*(1+'Assumptions'!$B$8*1)</f>
        <v/>
      </c>
      <c r="C24" s="108">
        <f>'Assumptions'!$B$8*1</f>
        <v/>
      </c>
      <c r="D24" s="108">
        <f>'Assumptions'!$B$9</f>
        <v/>
      </c>
      <c r="E24" s="107">
        <f>B24*'Assumptions'!$B$9</f>
        <v/>
      </c>
      <c r="F24" s="107">
        <f>E24*(1-'Assumptions'!$B$12)</f>
        <v/>
      </c>
      <c r="G24" s="109">
        <f>B24*'Assumptions'!$B$10</f>
        <v/>
      </c>
      <c r="H24" s="110">
        <f>-B24*'Assumptions'!$B$11</f>
        <v/>
      </c>
      <c r="I24" s="110">
        <f>-B24*'Assumptions'!$B$13</f>
        <v/>
      </c>
      <c r="J24" s="106">
        <f>F24+G24+H24+I24</f>
        <v/>
      </c>
    </row>
    <row r="25">
      <c r="A25" s="80" t="inlineStr">
        <is>
          <t>Year 5</t>
        </is>
      </c>
      <c r="B25" s="102">
        <f>B24*(1+'Assumptions'!$B$8*1)</f>
        <v/>
      </c>
      <c r="C25" s="103">
        <f>'Assumptions'!$B$8*1</f>
        <v/>
      </c>
      <c r="D25" s="103">
        <f>'Assumptions'!$B$9</f>
        <v/>
      </c>
      <c r="E25" s="102">
        <f>B25*'Assumptions'!$B$9</f>
        <v/>
      </c>
      <c r="F25" s="102">
        <f>E25*(1-'Assumptions'!$B$12)</f>
        <v/>
      </c>
      <c r="G25" s="104">
        <f>B25*'Assumptions'!$B$10</f>
        <v/>
      </c>
      <c r="H25" s="105">
        <f>-B25*'Assumptions'!$B$11</f>
        <v/>
      </c>
      <c r="I25" s="105">
        <f>-B25*'Assumptions'!$B$13</f>
        <v/>
      </c>
      <c r="J25" s="106">
        <f>F25+G25+H25+I25</f>
        <v/>
      </c>
    </row>
    <row r="26">
      <c r="L26" s="111">
        <f>'Assumptions'!$B$5</f>
        <v/>
      </c>
    </row>
    <row r="27">
      <c r="A27" s="114" t="inlineStr">
        <is>
          <t>Scenario WACC</t>
        </is>
      </c>
      <c r="B27" s="119">
        <f>L26</f>
        <v/>
      </c>
    </row>
    <row r="28">
      <c r="A28" s="112" t="inlineStr">
        <is>
          <t>Terminal Value ($M)</t>
        </is>
      </c>
      <c r="B28" s="120">
        <f>IF(L26&gt;'Assumptions'!$B$6,J25*(1+'Assumptions'!$B$6)/(L26-'Assumptions'!$B$6),0)</f>
        <v/>
      </c>
    </row>
    <row r="29">
      <c r="A29" s="88" t="inlineStr">
        <is>
          <t>Enterprise Value ($M)</t>
        </is>
      </c>
      <c r="B29" s="116">
        <f>J21/(1+L26)^1+J22/(1+L26)^2+J23/(1+L26)^3+J24/(1+L26)^4+J25/(1+L26)^5+B28/(1+L26)^5</f>
        <v/>
      </c>
    </row>
    <row r="30">
      <c r="A30" s="112" t="inlineStr">
        <is>
          <t>Equity Value ($M)</t>
        </is>
      </c>
      <c r="B30" s="120">
        <f>B29+'Assumptions'!$B$30/1000000-'Assumptions'!$B$31/1000000</f>
        <v/>
      </c>
    </row>
    <row r="31">
      <c r="A31" s="114" t="inlineStr">
        <is>
          <t>Equity Value Per Share</t>
        </is>
      </c>
      <c r="B31" s="121">
        <f>IF('Assumptions'!$B$29&gt;0,B30*1000000/'Assumptions'!$B$29,0)</f>
        <v/>
      </c>
    </row>
    <row r="32">
      <c r="A32" s="112" t="inlineStr">
        <is>
          <t>Implied Upside / (Downside)</t>
        </is>
      </c>
      <c r="B32" s="122">
        <f>IF('Assumptions'!$B$32&gt;0,(B31-'Assumptions'!$B$32)/'Assumptions'!$B$32,0)</f>
        <v/>
      </c>
    </row>
    <row r="34">
      <c r="A34" s="123" t="inlineStr">
        <is>
          <t xml:space="preserve">  BULL CASE  —  Live Formula Model</t>
        </is>
      </c>
    </row>
    <row r="35">
      <c r="A35" s="23" t="inlineStr">
        <is>
          <t>Year</t>
        </is>
      </c>
      <c r="B35" s="23" t="inlineStr">
        <is>
          <t>Revenue ($M)</t>
        </is>
      </c>
      <c r="C35" s="23" t="inlineStr">
        <is>
          <t>Rev Growth</t>
        </is>
      </c>
      <c r="D35" s="23" t="inlineStr">
        <is>
          <t>EBIT Margin</t>
        </is>
      </c>
      <c r="E35" s="23" t="inlineStr">
        <is>
          <t>EBIT ($M)</t>
        </is>
      </c>
      <c r="F35" s="23" t="inlineStr">
        <is>
          <t>NOPAT ($M)</t>
        </is>
      </c>
      <c r="G35" s="23" t="inlineStr">
        <is>
          <t>D&amp;A ($M)</t>
        </is>
      </c>
      <c r="H35" s="23" t="inlineStr">
        <is>
          <t>CapEx ($M)</t>
        </is>
      </c>
      <c r="I35" s="23" t="inlineStr">
        <is>
          <t>ΔNWC ($M)</t>
        </is>
      </c>
      <c r="J35" s="23" t="inlineStr">
        <is>
          <t>FCF ($M)</t>
        </is>
      </c>
    </row>
    <row r="36">
      <c r="A36" s="80" t="inlineStr">
        <is>
          <t>Year 1</t>
        </is>
      </c>
      <c r="B36" s="102">
        <f>'Assumptions'!$B$28*(1+'Assumptions'!$B$7*'Assumptions'!$B$18)/1000000</f>
        <v/>
      </c>
      <c r="C36" s="103">
        <f>'Assumptions'!$B$7*'Assumptions'!$B$18</f>
        <v/>
      </c>
      <c r="D36" s="103">
        <f>'Assumptions'!$B$9</f>
        <v/>
      </c>
      <c r="E36" s="102">
        <f>B36*'Assumptions'!$B$9</f>
        <v/>
      </c>
      <c r="F36" s="102">
        <f>E36*(1-'Assumptions'!$B$12)</f>
        <v/>
      </c>
      <c r="G36" s="104">
        <f>B36*'Assumptions'!$B$10</f>
        <v/>
      </c>
      <c r="H36" s="105">
        <f>-B36*'Assumptions'!$B$11</f>
        <v/>
      </c>
      <c r="I36" s="105">
        <f>-B36*'Assumptions'!$B$13</f>
        <v/>
      </c>
      <c r="J36" s="106">
        <f>F36+G36+H36+I36</f>
        <v/>
      </c>
    </row>
    <row r="37">
      <c r="A37" s="78" t="inlineStr">
        <is>
          <t>Year 2</t>
        </is>
      </c>
      <c r="B37" s="107">
        <f>B36*(1+'Assumptions'!$B$7*'Assumptions'!$B$18)</f>
        <v/>
      </c>
      <c r="C37" s="108">
        <f>'Assumptions'!$B$7*'Assumptions'!$B$18</f>
        <v/>
      </c>
      <c r="D37" s="108">
        <f>'Assumptions'!$B$9</f>
        <v/>
      </c>
      <c r="E37" s="107">
        <f>B37*'Assumptions'!$B$9</f>
        <v/>
      </c>
      <c r="F37" s="107">
        <f>E37*(1-'Assumptions'!$B$12)</f>
        <v/>
      </c>
      <c r="G37" s="109">
        <f>B37*'Assumptions'!$B$10</f>
        <v/>
      </c>
      <c r="H37" s="110">
        <f>-B37*'Assumptions'!$B$11</f>
        <v/>
      </c>
      <c r="I37" s="110">
        <f>-B37*'Assumptions'!$B$13</f>
        <v/>
      </c>
      <c r="J37" s="106">
        <f>F37+G37+H37+I37</f>
        <v/>
      </c>
    </row>
    <row r="38">
      <c r="A38" s="80" t="inlineStr">
        <is>
          <t>Year 3</t>
        </is>
      </c>
      <c r="B38" s="102">
        <f>B37*(1+'Assumptions'!$B$7*'Assumptions'!$B$18)</f>
        <v/>
      </c>
      <c r="C38" s="103">
        <f>'Assumptions'!$B$7*'Assumptions'!$B$18</f>
        <v/>
      </c>
      <c r="D38" s="103">
        <f>'Assumptions'!$B$9</f>
        <v/>
      </c>
      <c r="E38" s="102">
        <f>B38*'Assumptions'!$B$9</f>
        <v/>
      </c>
      <c r="F38" s="102">
        <f>E38*(1-'Assumptions'!$B$12)</f>
        <v/>
      </c>
      <c r="G38" s="104">
        <f>B38*'Assumptions'!$B$10</f>
        <v/>
      </c>
      <c r="H38" s="105">
        <f>-B38*'Assumptions'!$B$11</f>
        <v/>
      </c>
      <c r="I38" s="105">
        <f>-B38*'Assumptions'!$B$13</f>
        <v/>
      </c>
      <c r="J38" s="106">
        <f>F38+G38+H38+I38</f>
        <v/>
      </c>
    </row>
    <row r="39">
      <c r="A39" s="78" t="inlineStr">
        <is>
          <t>Year 4</t>
        </is>
      </c>
      <c r="B39" s="107">
        <f>B38*(1+'Assumptions'!$B$8*'Assumptions'!$B$18)</f>
        <v/>
      </c>
      <c r="C39" s="108">
        <f>'Assumptions'!$B$8*'Assumptions'!$B$18</f>
        <v/>
      </c>
      <c r="D39" s="108">
        <f>'Assumptions'!$B$9</f>
        <v/>
      </c>
      <c r="E39" s="107">
        <f>B39*'Assumptions'!$B$9</f>
        <v/>
      </c>
      <c r="F39" s="107">
        <f>E39*(1-'Assumptions'!$B$12)</f>
        <v/>
      </c>
      <c r="G39" s="109">
        <f>B39*'Assumptions'!$B$10</f>
        <v/>
      </c>
      <c r="H39" s="110">
        <f>-B39*'Assumptions'!$B$11</f>
        <v/>
      </c>
      <c r="I39" s="110">
        <f>-B39*'Assumptions'!$B$13</f>
        <v/>
      </c>
      <c r="J39" s="106">
        <f>F39+G39+H39+I39</f>
        <v/>
      </c>
    </row>
    <row r="40">
      <c r="A40" s="80" t="inlineStr">
        <is>
          <t>Year 5</t>
        </is>
      </c>
      <c r="B40" s="102">
        <f>B39*(1+'Assumptions'!$B$8*'Assumptions'!$B$18)</f>
        <v/>
      </c>
      <c r="C40" s="103">
        <f>'Assumptions'!$B$8*'Assumptions'!$B$18</f>
        <v/>
      </c>
      <c r="D40" s="103">
        <f>'Assumptions'!$B$9</f>
        <v/>
      </c>
      <c r="E40" s="102">
        <f>B40*'Assumptions'!$B$9</f>
        <v/>
      </c>
      <c r="F40" s="102">
        <f>E40*(1-'Assumptions'!$B$12)</f>
        <v/>
      </c>
      <c r="G40" s="104">
        <f>B40*'Assumptions'!$B$10</f>
        <v/>
      </c>
      <c r="H40" s="105">
        <f>-B40*'Assumptions'!$B$11</f>
        <v/>
      </c>
      <c r="I40" s="105">
        <f>-B40*'Assumptions'!$B$13</f>
        <v/>
      </c>
      <c r="J40" s="106">
        <f>F40+G40+H40+I40</f>
        <v/>
      </c>
    </row>
    <row r="41">
      <c r="L41" s="111">
        <f>'Assumptions'!$B$5+'Assumptions'!$B$20</f>
        <v/>
      </c>
    </row>
    <row r="42">
      <c r="A42" s="112" t="inlineStr">
        <is>
          <t>Scenario WACC</t>
        </is>
      </c>
      <c r="B42" s="113">
        <f>L41</f>
        <v/>
      </c>
    </row>
    <row r="43">
      <c r="A43" s="114" t="inlineStr">
        <is>
          <t>Terminal Value ($M)</t>
        </is>
      </c>
      <c r="B43" s="115">
        <f>IF(L41&gt;'Assumptions'!$B$6,J40*(1+'Assumptions'!$B$6)/(L41-'Assumptions'!$B$6),0)</f>
        <v/>
      </c>
    </row>
    <row r="44">
      <c r="A44" s="88" t="inlineStr">
        <is>
          <t>Enterprise Value ($M)</t>
        </is>
      </c>
      <c r="B44" s="116">
        <f>J36/(1+L41)^1+J37/(1+L41)^2+J38/(1+L41)^3+J39/(1+L41)^4+J40/(1+L41)^5+B43/(1+L41)^5</f>
        <v/>
      </c>
    </row>
    <row r="45">
      <c r="A45" s="114" t="inlineStr">
        <is>
          <t>Equity Value ($M)</t>
        </is>
      </c>
      <c r="B45" s="115">
        <f>B44+'Assumptions'!$B$30/1000000-'Assumptions'!$B$31/1000000</f>
        <v/>
      </c>
    </row>
    <row r="46">
      <c r="A46" s="112" t="inlineStr">
        <is>
          <t>Equity Value Per Share</t>
        </is>
      </c>
      <c r="B46" s="117">
        <f>IF('Assumptions'!$B$29&gt;0,B45*1000000/'Assumptions'!$B$29,0)</f>
        <v/>
      </c>
    </row>
    <row r="47">
      <c r="A47" s="114" t="inlineStr">
        <is>
          <t>Implied Upside / (Downside)</t>
        </is>
      </c>
      <c r="B47" s="118">
        <f>IF('Assumptions'!$B$32&gt;0,(B46-'Assumptions'!$B$32)/'Assumptions'!$B$32,0)</f>
        <v/>
      </c>
    </row>
  </sheetData>
  <sheetProtection selectLockedCells="0" selectUnlockedCells="0" sheet="1" objects="0" insertRows="0" insertHyperlinks="1" autoFilter="1" scenarios="0" formatColumns="1" deleteColumns="1" insertColumns="1" pivotTables="1" deleteRows="0" formatCells="0" formatRows="1" sort="1"/>
  <mergeCells count="5">
    <mergeCell ref="A1:L1"/>
    <mergeCell ref="A3:J3"/>
    <mergeCell ref="A34:J34"/>
    <mergeCell ref="A4:J4"/>
    <mergeCell ref="A19:J19"/>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rowBreaks count="2" manualBreakCount="2">
    <brk id="22" min="0" max="16383" man="1"/>
    <brk id="44" min="0" max="16383" man="1"/>
  </rowBreaks>
</worksheet>
</file>

<file path=xl/worksheets/sheet11.xml><?xml version="1.0" encoding="utf-8"?>
<worksheet xmlns="http://schemas.openxmlformats.org/spreadsheetml/2006/main">
  <sheetPr>
    <tabColor rgb="000071E3"/>
    <outlinePr summaryBelow="1" summaryRight="1"/>
    <pageSetUpPr fitToPage="1"/>
  </sheetPr>
  <dimension ref="A1:S3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s>
  <sheetData>
    <row r="1" ht="32" customHeight="1">
      <c r="A1" s="21" t="inlineStr">
        <is>
          <t xml:space="preserve">  Sensitivity Analysis — WACC vs Terminal Growth Rate    |    v8 Live Formulas — matrix recalculates when Assumptions change</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124" t="inlineStr">
        <is>
          <t xml:space="preserve">  ★  Every cell is a live NPV formula — update WACC/growth in Assumptions to recalculate. Highlighted cell = closest to current WACC/TGR settings.</t>
        </is>
      </c>
    </row>
    <row r="4">
      <c r="A4" s="76" t="inlineStr">
        <is>
          <t>MATRIX 1 — Equity Value Per Share: WACC (rows) vs Terminal Growth Rate (cols)</t>
        </is>
      </c>
    </row>
    <row r="5">
      <c r="A5" s="125" t="inlineStr">
        <is>
          <t>WACC ↓  \  TGR →</t>
        </is>
      </c>
      <c r="B5" s="126" t="n">
        <v>0.01</v>
      </c>
      <c r="C5" s="126" t="n">
        <v>0.02</v>
      </c>
      <c r="D5" s="126" t="n">
        <v>0.025</v>
      </c>
      <c r="E5" s="126" t="n">
        <v>0.03</v>
      </c>
      <c r="F5" s="126" t="n">
        <v>0.035</v>
      </c>
      <c r="G5" s="126" t="n">
        <v>0.04</v>
      </c>
    </row>
    <row r="6">
      <c r="A6" s="126" t="n">
        <v>0.07000000000000001</v>
      </c>
      <c r="B6" s="127">
        <f>IF('Assumptions'!$B$29&gt;0,((('DCF Scenarios'!$J$21/(1+$A$6)^1+'DCF Scenarios'!$J$22/(1+$A$6)^2+'DCF Scenarios'!$J$23/(1+$A$6)^3+'DCF Scenarios'!$J$24/(1+$A$6)^4+'DCF Scenarios'!$J$25/(1+$A$6)^5)+IF($A$6&gt;B$5,'DCF Scenarios'!$J$25*(1+B$5)/($A$6-B$5)/(1+$A$6)^5,0))*1000000+'Assumptions'!$B$30-'Assumptions'!$B$31)/'Assumptions'!$B$29,0)</f>
        <v/>
      </c>
      <c r="C6" s="127">
        <f>IF('Assumptions'!$B$29&gt;0,((('DCF Scenarios'!$J$21/(1+$A$6)^1+'DCF Scenarios'!$J$22/(1+$A$6)^2+'DCF Scenarios'!$J$23/(1+$A$6)^3+'DCF Scenarios'!$J$24/(1+$A$6)^4+'DCF Scenarios'!$J$25/(1+$A$6)^5)+IF($A$6&gt;C$5,'DCF Scenarios'!$J$25*(1+C$5)/($A$6-C$5)/(1+$A$6)^5,0))*1000000+'Assumptions'!$B$30-'Assumptions'!$B$31)/'Assumptions'!$B$29,0)</f>
        <v/>
      </c>
      <c r="D6" s="127">
        <f>IF('Assumptions'!$B$29&gt;0,((('DCF Scenarios'!$J$21/(1+$A$6)^1+'DCF Scenarios'!$J$22/(1+$A$6)^2+'DCF Scenarios'!$J$23/(1+$A$6)^3+'DCF Scenarios'!$J$24/(1+$A$6)^4+'DCF Scenarios'!$J$25/(1+$A$6)^5)+IF($A$6&gt;D$5,'DCF Scenarios'!$J$25*(1+D$5)/($A$6-D$5)/(1+$A$6)^5,0))*1000000+'Assumptions'!$B$30-'Assumptions'!$B$31)/'Assumptions'!$B$29,0)</f>
        <v/>
      </c>
      <c r="E6" s="127">
        <f>IF('Assumptions'!$B$29&gt;0,((('DCF Scenarios'!$J$21/(1+$A$6)^1+'DCF Scenarios'!$J$22/(1+$A$6)^2+'DCF Scenarios'!$J$23/(1+$A$6)^3+'DCF Scenarios'!$J$24/(1+$A$6)^4+'DCF Scenarios'!$J$25/(1+$A$6)^5)+IF($A$6&gt;E$5,'DCF Scenarios'!$J$25*(1+E$5)/($A$6-E$5)/(1+$A$6)^5,0))*1000000+'Assumptions'!$B$30-'Assumptions'!$B$31)/'Assumptions'!$B$29,0)</f>
        <v/>
      </c>
      <c r="F6" s="127">
        <f>IF('Assumptions'!$B$29&gt;0,((('DCF Scenarios'!$J$21/(1+$A$6)^1+'DCF Scenarios'!$J$22/(1+$A$6)^2+'DCF Scenarios'!$J$23/(1+$A$6)^3+'DCF Scenarios'!$J$24/(1+$A$6)^4+'DCF Scenarios'!$J$25/(1+$A$6)^5)+IF($A$6&gt;F$5,'DCF Scenarios'!$J$25*(1+F$5)/($A$6-F$5)/(1+$A$6)^5,0))*1000000+'Assumptions'!$B$30-'Assumptions'!$B$31)/'Assumptions'!$B$29,0)</f>
        <v/>
      </c>
      <c r="G6" s="127">
        <f>IF('Assumptions'!$B$29&gt;0,((('DCF Scenarios'!$J$21/(1+$A$6)^1+'DCF Scenarios'!$J$22/(1+$A$6)^2+'DCF Scenarios'!$J$23/(1+$A$6)^3+'DCF Scenarios'!$J$24/(1+$A$6)^4+'DCF Scenarios'!$J$25/(1+$A$6)^5)+IF($A$6&gt;G$5,'DCF Scenarios'!$J$25*(1+G$5)/($A$6-G$5)/(1+$A$6)^5,0))*1000000+'Assumptions'!$B$30-'Assumptions'!$B$31)/'Assumptions'!$B$29,0)</f>
        <v/>
      </c>
    </row>
    <row r="7">
      <c r="A7" s="126" t="n">
        <v>0.08</v>
      </c>
      <c r="B7" s="127">
        <f>IF('Assumptions'!$B$29&gt;0,((('DCF Scenarios'!$J$21/(1+$A$7)^1+'DCF Scenarios'!$J$22/(1+$A$7)^2+'DCF Scenarios'!$J$23/(1+$A$7)^3+'DCF Scenarios'!$J$24/(1+$A$7)^4+'DCF Scenarios'!$J$25/(1+$A$7)^5)+IF($A$7&gt;B$5,'DCF Scenarios'!$J$25*(1+B$5)/($A$7-B$5)/(1+$A$7)^5,0))*1000000+'Assumptions'!$B$30-'Assumptions'!$B$31)/'Assumptions'!$B$29,0)</f>
        <v/>
      </c>
      <c r="C7" s="127">
        <f>IF('Assumptions'!$B$29&gt;0,((('DCF Scenarios'!$J$21/(1+$A$7)^1+'DCF Scenarios'!$J$22/(1+$A$7)^2+'DCF Scenarios'!$J$23/(1+$A$7)^3+'DCF Scenarios'!$J$24/(1+$A$7)^4+'DCF Scenarios'!$J$25/(1+$A$7)^5)+IF($A$7&gt;C$5,'DCF Scenarios'!$J$25*(1+C$5)/($A$7-C$5)/(1+$A$7)^5,0))*1000000+'Assumptions'!$B$30-'Assumptions'!$B$31)/'Assumptions'!$B$29,0)</f>
        <v/>
      </c>
      <c r="D7" s="127">
        <f>IF('Assumptions'!$B$29&gt;0,((('DCF Scenarios'!$J$21/(1+$A$7)^1+'DCF Scenarios'!$J$22/(1+$A$7)^2+'DCF Scenarios'!$J$23/(1+$A$7)^3+'DCF Scenarios'!$J$24/(1+$A$7)^4+'DCF Scenarios'!$J$25/(1+$A$7)^5)+IF($A$7&gt;D$5,'DCF Scenarios'!$J$25*(1+D$5)/($A$7-D$5)/(1+$A$7)^5,0))*1000000+'Assumptions'!$B$30-'Assumptions'!$B$31)/'Assumptions'!$B$29,0)</f>
        <v/>
      </c>
      <c r="E7" s="127">
        <f>IF('Assumptions'!$B$29&gt;0,((('DCF Scenarios'!$J$21/(1+$A$7)^1+'DCF Scenarios'!$J$22/(1+$A$7)^2+'DCF Scenarios'!$J$23/(1+$A$7)^3+'DCF Scenarios'!$J$24/(1+$A$7)^4+'DCF Scenarios'!$J$25/(1+$A$7)^5)+IF($A$7&gt;E$5,'DCF Scenarios'!$J$25*(1+E$5)/($A$7-E$5)/(1+$A$7)^5,0))*1000000+'Assumptions'!$B$30-'Assumptions'!$B$31)/'Assumptions'!$B$29,0)</f>
        <v/>
      </c>
      <c r="F7" s="127">
        <f>IF('Assumptions'!$B$29&gt;0,((('DCF Scenarios'!$J$21/(1+$A$7)^1+'DCF Scenarios'!$J$22/(1+$A$7)^2+'DCF Scenarios'!$J$23/(1+$A$7)^3+'DCF Scenarios'!$J$24/(1+$A$7)^4+'DCF Scenarios'!$J$25/(1+$A$7)^5)+IF($A$7&gt;F$5,'DCF Scenarios'!$J$25*(1+F$5)/($A$7-F$5)/(1+$A$7)^5,0))*1000000+'Assumptions'!$B$30-'Assumptions'!$B$31)/'Assumptions'!$B$29,0)</f>
        <v/>
      </c>
      <c r="G7" s="127">
        <f>IF('Assumptions'!$B$29&gt;0,((('DCF Scenarios'!$J$21/(1+$A$7)^1+'DCF Scenarios'!$J$22/(1+$A$7)^2+'DCF Scenarios'!$J$23/(1+$A$7)^3+'DCF Scenarios'!$J$24/(1+$A$7)^4+'DCF Scenarios'!$J$25/(1+$A$7)^5)+IF($A$7&gt;G$5,'DCF Scenarios'!$J$25*(1+G$5)/($A$7-G$5)/(1+$A$7)^5,0))*1000000+'Assumptions'!$B$30-'Assumptions'!$B$31)/'Assumptions'!$B$29,0)</f>
        <v/>
      </c>
    </row>
    <row r="8">
      <c r="A8" s="126" t="n">
        <v>0.09</v>
      </c>
      <c r="B8" s="127">
        <f>IF('Assumptions'!$B$29&gt;0,((('DCF Scenarios'!$J$21/(1+$A$8)^1+'DCF Scenarios'!$J$22/(1+$A$8)^2+'DCF Scenarios'!$J$23/(1+$A$8)^3+'DCF Scenarios'!$J$24/(1+$A$8)^4+'DCF Scenarios'!$J$25/(1+$A$8)^5)+IF($A$8&gt;B$5,'DCF Scenarios'!$J$25*(1+B$5)/($A$8-B$5)/(1+$A$8)^5,0))*1000000+'Assumptions'!$B$30-'Assumptions'!$B$31)/'Assumptions'!$B$29,0)</f>
        <v/>
      </c>
      <c r="C8" s="127">
        <f>IF('Assumptions'!$B$29&gt;0,((('DCF Scenarios'!$J$21/(1+$A$8)^1+'DCF Scenarios'!$J$22/(1+$A$8)^2+'DCF Scenarios'!$J$23/(1+$A$8)^3+'DCF Scenarios'!$J$24/(1+$A$8)^4+'DCF Scenarios'!$J$25/(1+$A$8)^5)+IF($A$8&gt;C$5,'DCF Scenarios'!$J$25*(1+C$5)/($A$8-C$5)/(1+$A$8)^5,0))*1000000+'Assumptions'!$B$30-'Assumptions'!$B$31)/'Assumptions'!$B$29,0)</f>
        <v/>
      </c>
      <c r="D8" s="127">
        <f>IF('Assumptions'!$B$29&gt;0,((('DCF Scenarios'!$J$21/(1+$A$8)^1+'DCF Scenarios'!$J$22/(1+$A$8)^2+'DCF Scenarios'!$J$23/(1+$A$8)^3+'DCF Scenarios'!$J$24/(1+$A$8)^4+'DCF Scenarios'!$J$25/(1+$A$8)^5)+IF($A$8&gt;D$5,'DCF Scenarios'!$J$25*(1+D$5)/($A$8-D$5)/(1+$A$8)^5,0))*1000000+'Assumptions'!$B$30-'Assumptions'!$B$31)/'Assumptions'!$B$29,0)</f>
        <v/>
      </c>
      <c r="E8" s="127">
        <f>IF('Assumptions'!$B$29&gt;0,((('DCF Scenarios'!$J$21/(1+$A$8)^1+'DCF Scenarios'!$J$22/(1+$A$8)^2+'DCF Scenarios'!$J$23/(1+$A$8)^3+'DCF Scenarios'!$J$24/(1+$A$8)^4+'DCF Scenarios'!$J$25/(1+$A$8)^5)+IF($A$8&gt;E$5,'DCF Scenarios'!$J$25*(1+E$5)/($A$8-E$5)/(1+$A$8)^5,0))*1000000+'Assumptions'!$B$30-'Assumptions'!$B$31)/'Assumptions'!$B$29,0)</f>
        <v/>
      </c>
      <c r="F8" s="127">
        <f>IF('Assumptions'!$B$29&gt;0,((('DCF Scenarios'!$J$21/(1+$A$8)^1+'DCF Scenarios'!$J$22/(1+$A$8)^2+'DCF Scenarios'!$J$23/(1+$A$8)^3+'DCF Scenarios'!$J$24/(1+$A$8)^4+'DCF Scenarios'!$J$25/(1+$A$8)^5)+IF($A$8&gt;F$5,'DCF Scenarios'!$J$25*(1+F$5)/($A$8-F$5)/(1+$A$8)^5,0))*1000000+'Assumptions'!$B$30-'Assumptions'!$B$31)/'Assumptions'!$B$29,0)</f>
        <v/>
      </c>
      <c r="G8" s="127">
        <f>IF('Assumptions'!$B$29&gt;0,((('DCF Scenarios'!$J$21/(1+$A$8)^1+'DCF Scenarios'!$J$22/(1+$A$8)^2+'DCF Scenarios'!$J$23/(1+$A$8)^3+'DCF Scenarios'!$J$24/(1+$A$8)^4+'DCF Scenarios'!$J$25/(1+$A$8)^5)+IF($A$8&gt;G$5,'DCF Scenarios'!$J$25*(1+G$5)/($A$8-G$5)/(1+$A$8)^5,0))*1000000+'Assumptions'!$B$30-'Assumptions'!$B$31)/'Assumptions'!$B$29,0)</f>
        <v/>
      </c>
    </row>
    <row r="9">
      <c r="A9" s="126" t="n">
        <v>0.1</v>
      </c>
      <c r="B9" s="127">
        <f>IF('Assumptions'!$B$29&gt;0,((('DCF Scenarios'!$J$21/(1+$A$9)^1+'DCF Scenarios'!$J$22/(1+$A$9)^2+'DCF Scenarios'!$J$23/(1+$A$9)^3+'DCF Scenarios'!$J$24/(1+$A$9)^4+'DCF Scenarios'!$J$25/(1+$A$9)^5)+IF($A$9&gt;B$5,'DCF Scenarios'!$J$25*(1+B$5)/($A$9-B$5)/(1+$A$9)^5,0))*1000000+'Assumptions'!$B$30-'Assumptions'!$B$31)/'Assumptions'!$B$29,0)</f>
        <v/>
      </c>
      <c r="C9" s="127">
        <f>IF('Assumptions'!$B$29&gt;0,((('DCF Scenarios'!$J$21/(1+$A$9)^1+'DCF Scenarios'!$J$22/(1+$A$9)^2+'DCF Scenarios'!$J$23/(1+$A$9)^3+'DCF Scenarios'!$J$24/(1+$A$9)^4+'DCF Scenarios'!$J$25/(1+$A$9)^5)+IF($A$9&gt;C$5,'DCF Scenarios'!$J$25*(1+C$5)/($A$9-C$5)/(1+$A$9)^5,0))*1000000+'Assumptions'!$B$30-'Assumptions'!$B$31)/'Assumptions'!$B$29,0)</f>
        <v/>
      </c>
      <c r="D9" s="127">
        <f>IF('Assumptions'!$B$29&gt;0,((('DCF Scenarios'!$J$21/(1+$A$9)^1+'DCF Scenarios'!$J$22/(1+$A$9)^2+'DCF Scenarios'!$J$23/(1+$A$9)^3+'DCF Scenarios'!$J$24/(1+$A$9)^4+'DCF Scenarios'!$J$25/(1+$A$9)^5)+IF($A$9&gt;D$5,'DCF Scenarios'!$J$25*(1+D$5)/($A$9-D$5)/(1+$A$9)^5,0))*1000000+'Assumptions'!$B$30-'Assumptions'!$B$31)/'Assumptions'!$B$29,0)</f>
        <v/>
      </c>
      <c r="E9" s="127">
        <f>IF('Assumptions'!$B$29&gt;0,((('DCF Scenarios'!$J$21/(1+$A$9)^1+'DCF Scenarios'!$J$22/(1+$A$9)^2+'DCF Scenarios'!$J$23/(1+$A$9)^3+'DCF Scenarios'!$J$24/(1+$A$9)^4+'DCF Scenarios'!$J$25/(1+$A$9)^5)+IF($A$9&gt;E$5,'DCF Scenarios'!$J$25*(1+E$5)/($A$9-E$5)/(1+$A$9)^5,0))*1000000+'Assumptions'!$B$30-'Assumptions'!$B$31)/'Assumptions'!$B$29,0)</f>
        <v/>
      </c>
      <c r="F9" s="127">
        <f>IF('Assumptions'!$B$29&gt;0,((('DCF Scenarios'!$J$21/(1+$A$9)^1+'DCF Scenarios'!$J$22/(1+$A$9)^2+'DCF Scenarios'!$J$23/(1+$A$9)^3+'DCF Scenarios'!$J$24/(1+$A$9)^4+'DCF Scenarios'!$J$25/(1+$A$9)^5)+IF($A$9&gt;F$5,'DCF Scenarios'!$J$25*(1+F$5)/($A$9-F$5)/(1+$A$9)^5,0))*1000000+'Assumptions'!$B$30-'Assumptions'!$B$31)/'Assumptions'!$B$29,0)</f>
        <v/>
      </c>
      <c r="G9" s="127">
        <f>IF('Assumptions'!$B$29&gt;0,((('DCF Scenarios'!$J$21/(1+$A$9)^1+'DCF Scenarios'!$J$22/(1+$A$9)^2+'DCF Scenarios'!$J$23/(1+$A$9)^3+'DCF Scenarios'!$J$24/(1+$A$9)^4+'DCF Scenarios'!$J$25/(1+$A$9)^5)+IF($A$9&gt;G$5,'DCF Scenarios'!$J$25*(1+G$5)/($A$9-G$5)/(1+$A$9)^5,0))*1000000+'Assumptions'!$B$30-'Assumptions'!$B$31)/'Assumptions'!$B$29,0)</f>
        <v/>
      </c>
    </row>
    <row r="10">
      <c r="A10" s="126" t="n">
        <v>0.11</v>
      </c>
      <c r="B10" s="127">
        <f>IF('Assumptions'!$B$29&gt;0,((('DCF Scenarios'!$J$21/(1+$A$10)^1+'DCF Scenarios'!$J$22/(1+$A$10)^2+'DCF Scenarios'!$J$23/(1+$A$10)^3+'DCF Scenarios'!$J$24/(1+$A$10)^4+'DCF Scenarios'!$J$25/(1+$A$10)^5)+IF($A$10&gt;B$5,'DCF Scenarios'!$J$25*(1+B$5)/($A$10-B$5)/(1+$A$10)^5,0))*1000000+'Assumptions'!$B$30-'Assumptions'!$B$31)/'Assumptions'!$B$29,0)</f>
        <v/>
      </c>
      <c r="C10" s="127">
        <f>IF('Assumptions'!$B$29&gt;0,((('DCF Scenarios'!$J$21/(1+$A$10)^1+'DCF Scenarios'!$J$22/(1+$A$10)^2+'DCF Scenarios'!$J$23/(1+$A$10)^3+'DCF Scenarios'!$J$24/(1+$A$10)^4+'DCF Scenarios'!$J$25/(1+$A$10)^5)+IF($A$10&gt;C$5,'DCF Scenarios'!$J$25*(1+C$5)/($A$10-C$5)/(1+$A$10)^5,0))*1000000+'Assumptions'!$B$30-'Assumptions'!$B$31)/'Assumptions'!$B$29,0)</f>
        <v/>
      </c>
      <c r="D10" s="127">
        <f>IF('Assumptions'!$B$29&gt;0,((('DCF Scenarios'!$J$21/(1+$A$10)^1+'DCF Scenarios'!$J$22/(1+$A$10)^2+'DCF Scenarios'!$J$23/(1+$A$10)^3+'DCF Scenarios'!$J$24/(1+$A$10)^4+'DCF Scenarios'!$J$25/(1+$A$10)^5)+IF($A$10&gt;D$5,'DCF Scenarios'!$J$25*(1+D$5)/($A$10-D$5)/(1+$A$10)^5,0))*1000000+'Assumptions'!$B$30-'Assumptions'!$B$31)/'Assumptions'!$B$29,0)</f>
        <v/>
      </c>
      <c r="E10" s="127">
        <f>IF('Assumptions'!$B$29&gt;0,((('DCF Scenarios'!$J$21/(1+$A$10)^1+'DCF Scenarios'!$J$22/(1+$A$10)^2+'DCF Scenarios'!$J$23/(1+$A$10)^3+'DCF Scenarios'!$J$24/(1+$A$10)^4+'DCF Scenarios'!$J$25/(1+$A$10)^5)+IF($A$10&gt;E$5,'DCF Scenarios'!$J$25*(1+E$5)/($A$10-E$5)/(1+$A$10)^5,0))*1000000+'Assumptions'!$B$30-'Assumptions'!$B$31)/'Assumptions'!$B$29,0)</f>
        <v/>
      </c>
      <c r="F10" s="127">
        <f>IF('Assumptions'!$B$29&gt;0,((('DCF Scenarios'!$J$21/(1+$A$10)^1+'DCF Scenarios'!$J$22/(1+$A$10)^2+'DCF Scenarios'!$J$23/(1+$A$10)^3+'DCF Scenarios'!$J$24/(1+$A$10)^4+'DCF Scenarios'!$J$25/(1+$A$10)^5)+IF($A$10&gt;F$5,'DCF Scenarios'!$J$25*(1+F$5)/($A$10-F$5)/(1+$A$10)^5,0))*1000000+'Assumptions'!$B$30-'Assumptions'!$B$31)/'Assumptions'!$B$29,0)</f>
        <v/>
      </c>
      <c r="G10" s="127">
        <f>IF('Assumptions'!$B$29&gt;0,((('DCF Scenarios'!$J$21/(1+$A$10)^1+'DCF Scenarios'!$J$22/(1+$A$10)^2+'DCF Scenarios'!$J$23/(1+$A$10)^3+'DCF Scenarios'!$J$24/(1+$A$10)^4+'DCF Scenarios'!$J$25/(1+$A$10)^5)+IF($A$10&gt;G$5,'DCF Scenarios'!$J$25*(1+G$5)/($A$10-G$5)/(1+$A$10)^5,0))*1000000+'Assumptions'!$B$30-'Assumptions'!$B$31)/'Assumptions'!$B$29,0)</f>
        <v/>
      </c>
    </row>
    <row r="11">
      <c r="A11" s="126" t="n">
        <v>0.12</v>
      </c>
      <c r="B11" s="127">
        <f>IF('Assumptions'!$B$29&gt;0,((('DCF Scenarios'!$J$21/(1+$A$11)^1+'DCF Scenarios'!$J$22/(1+$A$11)^2+'DCF Scenarios'!$J$23/(1+$A$11)^3+'DCF Scenarios'!$J$24/(1+$A$11)^4+'DCF Scenarios'!$J$25/(1+$A$11)^5)+IF($A$11&gt;B$5,'DCF Scenarios'!$J$25*(1+B$5)/($A$11-B$5)/(1+$A$11)^5,0))*1000000+'Assumptions'!$B$30-'Assumptions'!$B$31)/'Assumptions'!$B$29,0)</f>
        <v/>
      </c>
      <c r="C11" s="127">
        <f>IF('Assumptions'!$B$29&gt;0,((('DCF Scenarios'!$J$21/(1+$A$11)^1+'DCF Scenarios'!$J$22/(1+$A$11)^2+'DCF Scenarios'!$J$23/(1+$A$11)^3+'DCF Scenarios'!$J$24/(1+$A$11)^4+'DCF Scenarios'!$J$25/(1+$A$11)^5)+IF($A$11&gt;C$5,'DCF Scenarios'!$J$25*(1+C$5)/($A$11-C$5)/(1+$A$11)^5,0))*1000000+'Assumptions'!$B$30-'Assumptions'!$B$31)/'Assumptions'!$B$29,0)</f>
        <v/>
      </c>
      <c r="D11" s="127">
        <f>IF('Assumptions'!$B$29&gt;0,((('DCF Scenarios'!$J$21/(1+$A$11)^1+'DCF Scenarios'!$J$22/(1+$A$11)^2+'DCF Scenarios'!$J$23/(1+$A$11)^3+'DCF Scenarios'!$J$24/(1+$A$11)^4+'DCF Scenarios'!$J$25/(1+$A$11)^5)+IF($A$11&gt;D$5,'DCF Scenarios'!$J$25*(1+D$5)/($A$11-D$5)/(1+$A$11)^5,0))*1000000+'Assumptions'!$B$30-'Assumptions'!$B$31)/'Assumptions'!$B$29,0)</f>
        <v/>
      </c>
      <c r="E11" s="127">
        <f>IF('Assumptions'!$B$29&gt;0,((('DCF Scenarios'!$J$21/(1+$A$11)^1+'DCF Scenarios'!$J$22/(1+$A$11)^2+'DCF Scenarios'!$J$23/(1+$A$11)^3+'DCF Scenarios'!$J$24/(1+$A$11)^4+'DCF Scenarios'!$J$25/(1+$A$11)^5)+IF($A$11&gt;E$5,'DCF Scenarios'!$J$25*(1+E$5)/($A$11-E$5)/(1+$A$11)^5,0))*1000000+'Assumptions'!$B$30-'Assumptions'!$B$31)/'Assumptions'!$B$29,0)</f>
        <v/>
      </c>
      <c r="F11" s="127">
        <f>IF('Assumptions'!$B$29&gt;0,((('DCF Scenarios'!$J$21/(1+$A$11)^1+'DCF Scenarios'!$J$22/(1+$A$11)^2+'DCF Scenarios'!$J$23/(1+$A$11)^3+'DCF Scenarios'!$J$24/(1+$A$11)^4+'DCF Scenarios'!$J$25/(1+$A$11)^5)+IF($A$11&gt;F$5,'DCF Scenarios'!$J$25*(1+F$5)/($A$11-F$5)/(1+$A$11)^5,0))*1000000+'Assumptions'!$B$30-'Assumptions'!$B$31)/'Assumptions'!$B$29,0)</f>
        <v/>
      </c>
      <c r="G11" s="127">
        <f>IF('Assumptions'!$B$29&gt;0,((('DCF Scenarios'!$J$21/(1+$A$11)^1+'DCF Scenarios'!$J$22/(1+$A$11)^2+'DCF Scenarios'!$J$23/(1+$A$11)^3+'DCF Scenarios'!$J$24/(1+$A$11)^4+'DCF Scenarios'!$J$25/(1+$A$11)^5)+IF($A$11&gt;G$5,'DCF Scenarios'!$J$25*(1+G$5)/($A$11-G$5)/(1+$A$11)^5,0))*1000000+'Assumptions'!$B$30-'Assumptions'!$B$31)/'Assumptions'!$B$29,0)</f>
        <v/>
      </c>
    </row>
    <row r="12">
      <c r="A12" s="126" t="n">
        <v>0.13</v>
      </c>
      <c r="B12" s="127">
        <f>IF('Assumptions'!$B$29&gt;0,((('DCF Scenarios'!$J$21/(1+$A$12)^1+'DCF Scenarios'!$J$22/(1+$A$12)^2+'DCF Scenarios'!$J$23/(1+$A$12)^3+'DCF Scenarios'!$J$24/(1+$A$12)^4+'DCF Scenarios'!$J$25/(1+$A$12)^5)+IF($A$12&gt;B$5,'DCF Scenarios'!$J$25*(1+B$5)/($A$12-B$5)/(1+$A$12)^5,0))*1000000+'Assumptions'!$B$30-'Assumptions'!$B$31)/'Assumptions'!$B$29,0)</f>
        <v/>
      </c>
      <c r="C12" s="127">
        <f>IF('Assumptions'!$B$29&gt;0,((('DCF Scenarios'!$J$21/(1+$A$12)^1+'DCF Scenarios'!$J$22/(1+$A$12)^2+'DCF Scenarios'!$J$23/(1+$A$12)^3+'DCF Scenarios'!$J$24/(1+$A$12)^4+'DCF Scenarios'!$J$25/(1+$A$12)^5)+IF($A$12&gt;C$5,'DCF Scenarios'!$J$25*(1+C$5)/($A$12-C$5)/(1+$A$12)^5,0))*1000000+'Assumptions'!$B$30-'Assumptions'!$B$31)/'Assumptions'!$B$29,0)</f>
        <v/>
      </c>
      <c r="D12" s="127">
        <f>IF('Assumptions'!$B$29&gt;0,((('DCF Scenarios'!$J$21/(1+$A$12)^1+'DCF Scenarios'!$J$22/(1+$A$12)^2+'DCF Scenarios'!$J$23/(1+$A$12)^3+'DCF Scenarios'!$J$24/(1+$A$12)^4+'DCF Scenarios'!$J$25/(1+$A$12)^5)+IF($A$12&gt;D$5,'DCF Scenarios'!$J$25*(1+D$5)/($A$12-D$5)/(1+$A$12)^5,0))*1000000+'Assumptions'!$B$30-'Assumptions'!$B$31)/'Assumptions'!$B$29,0)</f>
        <v/>
      </c>
      <c r="E12" s="127">
        <f>IF('Assumptions'!$B$29&gt;0,((('DCF Scenarios'!$J$21/(1+$A$12)^1+'DCF Scenarios'!$J$22/(1+$A$12)^2+'DCF Scenarios'!$J$23/(1+$A$12)^3+'DCF Scenarios'!$J$24/(1+$A$12)^4+'DCF Scenarios'!$J$25/(1+$A$12)^5)+IF($A$12&gt;E$5,'DCF Scenarios'!$J$25*(1+E$5)/($A$12-E$5)/(1+$A$12)^5,0))*1000000+'Assumptions'!$B$30-'Assumptions'!$B$31)/'Assumptions'!$B$29,0)</f>
        <v/>
      </c>
      <c r="F12" s="127">
        <f>IF('Assumptions'!$B$29&gt;0,((('DCF Scenarios'!$J$21/(1+$A$12)^1+'DCF Scenarios'!$J$22/(1+$A$12)^2+'DCF Scenarios'!$J$23/(1+$A$12)^3+'DCF Scenarios'!$J$24/(1+$A$12)^4+'DCF Scenarios'!$J$25/(1+$A$12)^5)+IF($A$12&gt;F$5,'DCF Scenarios'!$J$25*(1+F$5)/($A$12-F$5)/(1+$A$12)^5,0))*1000000+'Assumptions'!$B$30-'Assumptions'!$B$31)/'Assumptions'!$B$29,0)</f>
        <v/>
      </c>
      <c r="G12" s="127">
        <f>IF('Assumptions'!$B$29&gt;0,((('DCF Scenarios'!$J$21/(1+$A$12)^1+'DCF Scenarios'!$J$22/(1+$A$12)^2+'DCF Scenarios'!$J$23/(1+$A$12)^3+'DCF Scenarios'!$J$24/(1+$A$12)^4+'DCF Scenarios'!$J$25/(1+$A$12)^5)+IF($A$12&gt;G$5,'DCF Scenarios'!$J$25*(1+G$5)/($A$12-G$5)/(1+$A$12)^5,0))*1000000+'Assumptions'!$B$30-'Assumptions'!$B$31)/'Assumptions'!$B$29,0)</f>
        <v/>
      </c>
    </row>
    <row r="15">
      <c r="A15" s="63" t="inlineStr">
        <is>
          <t>MATRIX 2 — Implied EV/Share: EV/EBITDA Multiple (rows) vs Revenue Growth Y1-3 (cols)</t>
        </is>
      </c>
    </row>
    <row r="16">
      <c r="A16" s="125" t="inlineStr">
        <is>
          <t>EV/EBITDA ↓  \  Growth →</t>
        </is>
      </c>
      <c r="B16" s="128" t="n">
        <v>0.05</v>
      </c>
      <c r="C16" s="128" t="n">
        <v>0.1</v>
      </c>
      <c r="D16" s="128" t="n">
        <v>0.15</v>
      </c>
      <c r="E16" s="128" t="n">
        <v>0.2</v>
      </c>
      <c r="F16" s="128" t="n">
        <v>0.25</v>
      </c>
      <c r="G16" s="128" t="n">
        <v>0.3</v>
      </c>
      <c r="H16" s="128" t="n">
        <v>0.35</v>
      </c>
    </row>
    <row r="17">
      <c r="A17" s="56" t="inlineStr">
        <is>
          <t>6x</t>
        </is>
      </c>
      <c r="B17" s="127">
        <f>IF('Assumptions'!$B$29&gt;0,('Assumptions'!$B$28*'Assumptions'!$B$9*6*(1+0.05)^3+'Assumptions'!$B$30-'Assumptions'!$B$31)/'Assumptions'!$B$29,0)</f>
        <v/>
      </c>
      <c r="C17" s="127">
        <f>IF('Assumptions'!$B$29&gt;0,('Assumptions'!$B$28*'Assumptions'!$B$9*6*(1+0.1)^3+'Assumptions'!$B$30-'Assumptions'!$B$31)/'Assumptions'!$B$29,0)</f>
        <v/>
      </c>
      <c r="D17" s="127">
        <f>IF('Assumptions'!$B$29&gt;0,('Assumptions'!$B$28*'Assumptions'!$B$9*6*(1+0.15)^3+'Assumptions'!$B$30-'Assumptions'!$B$31)/'Assumptions'!$B$29,0)</f>
        <v/>
      </c>
      <c r="E17" s="127">
        <f>IF('Assumptions'!$B$29&gt;0,('Assumptions'!$B$28*'Assumptions'!$B$9*6*(1+0.2)^3+'Assumptions'!$B$30-'Assumptions'!$B$31)/'Assumptions'!$B$29,0)</f>
        <v/>
      </c>
      <c r="F17" s="127">
        <f>IF('Assumptions'!$B$29&gt;0,('Assumptions'!$B$28*'Assumptions'!$B$9*6*(1+0.25)^3+'Assumptions'!$B$30-'Assumptions'!$B$31)/'Assumptions'!$B$29,0)</f>
        <v/>
      </c>
      <c r="G17" s="127">
        <f>IF('Assumptions'!$B$29&gt;0,('Assumptions'!$B$28*'Assumptions'!$B$9*6*(1+0.3)^3+'Assumptions'!$B$30-'Assumptions'!$B$31)/'Assumptions'!$B$29,0)</f>
        <v/>
      </c>
      <c r="H17" s="127">
        <f>IF('Assumptions'!$B$29&gt;0,('Assumptions'!$B$28*'Assumptions'!$B$9*6*(1+0.35)^3+'Assumptions'!$B$30-'Assumptions'!$B$31)/'Assumptions'!$B$29,0)</f>
        <v/>
      </c>
    </row>
    <row r="18">
      <c r="A18" s="56" t="inlineStr">
        <is>
          <t>8x</t>
        </is>
      </c>
      <c r="B18" s="127">
        <f>IF('Assumptions'!$B$29&gt;0,('Assumptions'!$B$28*'Assumptions'!$B$9*8*(1+0.05)^3+'Assumptions'!$B$30-'Assumptions'!$B$31)/'Assumptions'!$B$29,0)</f>
        <v/>
      </c>
      <c r="C18" s="127">
        <f>IF('Assumptions'!$B$29&gt;0,('Assumptions'!$B$28*'Assumptions'!$B$9*8*(1+0.1)^3+'Assumptions'!$B$30-'Assumptions'!$B$31)/'Assumptions'!$B$29,0)</f>
        <v/>
      </c>
      <c r="D18" s="127">
        <f>IF('Assumptions'!$B$29&gt;0,('Assumptions'!$B$28*'Assumptions'!$B$9*8*(1+0.15)^3+'Assumptions'!$B$30-'Assumptions'!$B$31)/'Assumptions'!$B$29,0)</f>
        <v/>
      </c>
      <c r="E18" s="127">
        <f>IF('Assumptions'!$B$29&gt;0,('Assumptions'!$B$28*'Assumptions'!$B$9*8*(1+0.2)^3+'Assumptions'!$B$30-'Assumptions'!$B$31)/'Assumptions'!$B$29,0)</f>
        <v/>
      </c>
      <c r="F18" s="127">
        <f>IF('Assumptions'!$B$29&gt;0,('Assumptions'!$B$28*'Assumptions'!$B$9*8*(1+0.25)^3+'Assumptions'!$B$30-'Assumptions'!$B$31)/'Assumptions'!$B$29,0)</f>
        <v/>
      </c>
      <c r="G18" s="127">
        <f>IF('Assumptions'!$B$29&gt;0,('Assumptions'!$B$28*'Assumptions'!$B$9*8*(1+0.3)^3+'Assumptions'!$B$30-'Assumptions'!$B$31)/'Assumptions'!$B$29,0)</f>
        <v/>
      </c>
      <c r="H18" s="127">
        <f>IF('Assumptions'!$B$29&gt;0,('Assumptions'!$B$28*'Assumptions'!$B$9*8*(1+0.35)^3+'Assumptions'!$B$30-'Assumptions'!$B$31)/'Assumptions'!$B$29,0)</f>
        <v/>
      </c>
    </row>
    <row r="19">
      <c r="A19" s="56" t="inlineStr">
        <is>
          <t>10x</t>
        </is>
      </c>
      <c r="B19" s="127">
        <f>IF('Assumptions'!$B$29&gt;0,('Assumptions'!$B$28*'Assumptions'!$B$9*10*(1+0.05)^3+'Assumptions'!$B$30-'Assumptions'!$B$31)/'Assumptions'!$B$29,0)</f>
        <v/>
      </c>
      <c r="C19" s="127">
        <f>IF('Assumptions'!$B$29&gt;0,('Assumptions'!$B$28*'Assumptions'!$B$9*10*(1+0.1)^3+'Assumptions'!$B$30-'Assumptions'!$B$31)/'Assumptions'!$B$29,0)</f>
        <v/>
      </c>
      <c r="D19" s="127">
        <f>IF('Assumptions'!$B$29&gt;0,('Assumptions'!$B$28*'Assumptions'!$B$9*10*(1+0.15)^3+'Assumptions'!$B$30-'Assumptions'!$B$31)/'Assumptions'!$B$29,0)</f>
        <v/>
      </c>
      <c r="E19" s="127">
        <f>IF('Assumptions'!$B$29&gt;0,('Assumptions'!$B$28*'Assumptions'!$B$9*10*(1+0.2)^3+'Assumptions'!$B$30-'Assumptions'!$B$31)/'Assumptions'!$B$29,0)</f>
        <v/>
      </c>
      <c r="F19" s="127">
        <f>IF('Assumptions'!$B$29&gt;0,('Assumptions'!$B$28*'Assumptions'!$B$9*10*(1+0.25)^3+'Assumptions'!$B$30-'Assumptions'!$B$31)/'Assumptions'!$B$29,0)</f>
        <v/>
      </c>
      <c r="G19" s="127">
        <f>IF('Assumptions'!$B$29&gt;0,('Assumptions'!$B$28*'Assumptions'!$B$9*10*(1+0.3)^3+'Assumptions'!$B$30-'Assumptions'!$B$31)/'Assumptions'!$B$29,0)</f>
        <v/>
      </c>
      <c r="H19" s="127">
        <f>IF('Assumptions'!$B$29&gt;0,('Assumptions'!$B$28*'Assumptions'!$B$9*10*(1+0.35)^3+'Assumptions'!$B$30-'Assumptions'!$B$31)/'Assumptions'!$B$29,0)</f>
        <v/>
      </c>
    </row>
    <row r="20">
      <c r="A20" s="56" t="inlineStr">
        <is>
          <t>12x</t>
        </is>
      </c>
      <c r="B20" s="127">
        <f>IF('Assumptions'!$B$29&gt;0,('Assumptions'!$B$28*'Assumptions'!$B$9*12*(1+0.05)^3+'Assumptions'!$B$30-'Assumptions'!$B$31)/'Assumptions'!$B$29,0)</f>
        <v/>
      </c>
      <c r="C20" s="127">
        <f>IF('Assumptions'!$B$29&gt;0,('Assumptions'!$B$28*'Assumptions'!$B$9*12*(1+0.1)^3+'Assumptions'!$B$30-'Assumptions'!$B$31)/'Assumptions'!$B$29,0)</f>
        <v/>
      </c>
      <c r="D20" s="127">
        <f>IF('Assumptions'!$B$29&gt;0,('Assumptions'!$B$28*'Assumptions'!$B$9*12*(1+0.15)^3+'Assumptions'!$B$30-'Assumptions'!$B$31)/'Assumptions'!$B$29,0)</f>
        <v/>
      </c>
      <c r="E20" s="127">
        <f>IF('Assumptions'!$B$29&gt;0,('Assumptions'!$B$28*'Assumptions'!$B$9*12*(1+0.2)^3+'Assumptions'!$B$30-'Assumptions'!$B$31)/'Assumptions'!$B$29,0)</f>
        <v/>
      </c>
      <c r="F20" s="127">
        <f>IF('Assumptions'!$B$29&gt;0,('Assumptions'!$B$28*'Assumptions'!$B$9*12*(1+0.25)^3+'Assumptions'!$B$30-'Assumptions'!$B$31)/'Assumptions'!$B$29,0)</f>
        <v/>
      </c>
      <c r="G20" s="127">
        <f>IF('Assumptions'!$B$29&gt;0,('Assumptions'!$B$28*'Assumptions'!$B$9*12*(1+0.3)^3+'Assumptions'!$B$30-'Assumptions'!$B$31)/'Assumptions'!$B$29,0)</f>
        <v/>
      </c>
      <c r="H20" s="127">
        <f>IF('Assumptions'!$B$29&gt;0,('Assumptions'!$B$28*'Assumptions'!$B$9*12*(1+0.35)^3+'Assumptions'!$B$30-'Assumptions'!$B$31)/'Assumptions'!$B$29,0)</f>
        <v/>
      </c>
    </row>
    <row r="21">
      <c r="A21" s="56" t="inlineStr">
        <is>
          <t>14x</t>
        </is>
      </c>
      <c r="B21" s="127">
        <f>IF('Assumptions'!$B$29&gt;0,('Assumptions'!$B$28*'Assumptions'!$B$9*14*(1+0.05)^3+'Assumptions'!$B$30-'Assumptions'!$B$31)/'Assumptions'!$B$29,0)</f>
        <v/>
      </c>
      <c r="C21" s="127">
        <f>IF('Assumptions'!$B$29&gt;0,('Assumptions'!$B$28*'Assumptions'!$B$9*14*(1+0.1)^3+'Assumptions'!$B$30-'Assumptions'!$B$31)/'Assumptions'!$B$29,0)</f>
        <v/>
      </c>
      <c r="D21" s="127">
        <f>IF('Assumptions'!$B$29&gt;0,('Assumptions'!$B$28*'Assumptions'!$B$9*14*(1+0.15)^3+'Assumptions'!$B$30-'Assumptions'!$B$31)/'Assumptions'!$B$29,0)</f>
        <v/>
      </c>
      <c r="E21" s="127">
        <f>IF('Assumptions'!$B$29&gt;0,('Assumptions'!$B$28*'Assumptions'!$B$9*14*(1+0.2)^3+'Assumptions'!$B$30-'Assumptions'!$B$31)/'Assumptions'!$B$29,0)</f>
        <v/>
      </c>
      <c r="F21" s="127">
        <f>IF('Assumptions'!$B$29&gt;0,('Assumptions'!$B$28*'Assumptions'!$B$9*14*(1+0.25)^3+'Assumptions'!$B$30-'Assumptions'!$B$31)/'Assumptions'!$B$29,0)</f>
        <v/>
      </c>
      <c r="G21" s="127">
        <f>IF('Assumptions'!$B$29&gt;0,('Assumptions'!$B$28*'Assumptions'!$B$9*14*(1+0.3)^3+'Assumptions'!$B$30-'Assumptions'!$B$31)/'Assumptions'!$B$29,0)</f>
        <v/>
      </c>
      <c r="H21" s="127">
        <f>IF('Assumptions'!$B$29&gt;0,('Assumptions'!$B$28*'Assumptions'!$B$9*14*(1+0.35)^3+'Assumptions'!$B$30-'Assumptions'!$B$31)/'Assumptions'!$B$29,0)</f>
        <v/>
      </c>
    </row>
    <row r="22">
      <c r="A22" s="56" t="inlineStr">
        <is>
          <t>16x</t>
        </is>
      </c>
      <c r="B22" s="127">
        <f>IF('Assumptions'!$B$29&gt;0,('Assumptions'!$B$28*'Assumptions'!$B$9*16*(1+0.05)^3+'Assumptions'!$B$30-'Assumptions'!$B$31)/'Assumptions'!$B$29,0)</f>
        <v/>
      </c>
      <c r="C22" s="127">
        <f>IF('Assumptions'!$B$29&gt;0,('Assumptions'!$B$28*'Assumptions'!$B$9*16*(1+0.1)^3+'Assumptions'!$B$30-'Assumptions'!$B$31)/'Assumptions'!$B$29,0)</f>
        <v/>
      </c>
      <c r="D22" s="127">
        <f>IF('Assumptions'!$B$29&gt;0,('Assumptions'!$B$28*'Assumptions'!$B$9*16*(1+0.15)^3+'Assumptions'!$B$30-'Assumptions'!$B$31)/'Assumptions'!$B$29,0)</f>
        <v/>
      </c>
      <c r="E22" s="127">
        <f>IF('Assumptions'!$B$29&gt;0,('Assumptions'!$B$28*'Assumptions'!$B$9*16*(1+0.2)^3+'Assumptions'!$B$30-'Assumptions'!$B$31)/'Assumptions'!$B$29,0)</f>
        <v/>
      </c>
      <c r="F22" s="127">
        <f>IF('Assumptions'!$B$29&gt;0,('Assumptions'!$B$28*'Assumptions'!$B$9*16*(1+0.25)^3+'Assumptions'!$B$30-'Assumptions'!$B$31)/'Assumptions'!$B$29,0)</f>
        <v/>
      </c>
      <c r="G22" s="127">
        <f>IF('Assumptions'!$B$29&gt;0,('Assumptions'!$B$28*'Assumptions'!$B$9*16*(1+0.3)^3+'Assumptions'!$B$30-'Assumptions'!$B$31)/'Assumptions'!$B$29,0)</f>
        <v/>
      </c>
      <c r="H22" s="127">
        <f>IF('Assumptions'!$B$29&gt;0,('Assumptions'!$B$28*'Assumptions'!$B$9*16*(1+0.35)^3+'Assumptions'!$B$30-'Assumptions'!$B$31)/'Assumptions'!$B$29,0)</f>
        <v/>
      </c>
    </row>
    <row r="23">
      <c r="A23" s="56" t="inlineStr">
        <is>
          <t>18x</t>
        </is>
      </c>
      <c r="B23" s="127">
        <f>IF('Assumptions'!$B$29&gt;0,('Assumptions'!$B$28*'Assumptions'!$B$9*18*(1+0.05)^3+'Assumptions'!$B$30-'Assumptions'!$B$31)/'Assumptions'!$B$29,0)</f>
        <v/>
      </c>
      <c r="C23" s="127">
        <f>IF('Assumptions'!$B$29&gt;0,('Assumptions'!$B$28*'Assumptions'!$B$9*18*(1+0.1)^3+'Assumptions'!$B$30-'Assumptions'!$B$31)/'Assumptions'!$B$29,0)</f>
        <v/>
      </c>
      <c r="D23" s="127">
        <f>IF('Assumptions'!$B$29&gt;0,('Assumptions'!$B$28*'Assumptions'!$B$9*18*(1+0.15)^3+'Assumptions'!$B$30-'Assumptions'!$B$31)/'Assumptions'!$B$29,0)</f>
        <v/>
      </c>
      <c r="E23" s="127">
        <f>IF('Assumptions'!$B$29&gt;0,('Assumptions'!$B$28*'Assumptions'!$B$9*18*(1+0.2)^3+'Assumptions'!$B$30-'Assumptions'!$B$31)/'Assumptions'!$B$29,0)</f>
        <v/>
      </c>
      <c r="F23" s="127">
        <f>IF('Assumptions'!$B$29&gt;0,('Assumptions'!$B$28*'Assumptions'!$B$9*18*(1+0.25)^3+'Assumptions'!$B$30-'Assumptions'!$B$31)/'Assumptions'!$B$29,0)</f>
        <v/>
      </c>
      <c r="G23" s="127">
        <f>IF('Assumptions'!$B$29&gt;0,('Assumptions'!$B$28*'Assumptions'!$B$9*18*(1+0.3)^3+'Assumptions'!$B$30-'Assumptions'!$B$31)/'Assumptions'!$B$29,0)</f>
        <v/>
      </c>
      <c r="H23" s="127">
        <f>IF('Assumptions'!$B$29&gt;0,('Assumptions'!$B$28*'Assumptions'!$B$9*18*(1+0.35)^3+'Assumptions'!$B$30-'Assumptions'!$B$31)/'Assumptions'!$B$29,0)</f>
        <v/>
      </c>
    </row>
    <row r="24">
      <c r="A24" s="56" t="inlineStr">
        <is>
          <t>20x</t>
        </is>
      </c>
      <c r="B24" s="127">
        <f>IF('Assumptions'!$B$29&gt;0,('Assumptions'!$B$28*'Assumptions'!$B$9*20*(1+0.05)^3+'Assumptions'!$B$30-'Assumptions'!$B$31)/'Assumptions'!$B$29,0)</f>
        <v/>
      </c>
      <c r="C24" s="127">
        <f>IF('Assumptions'!$B$29&gt;0,('Assumptions'!$B$28*'Assumptions'!$B$9*20*(1+0.1)^3+'Assumptions'!$B$30-'Assumptions'!$B$31)/'Assumptions'!$B$29,0)</f>
        <v/>
      </c>
      <c r="D24" s="127">
        <f>IF('Assumptions'!$B$29&gt;0,('Assumptions'!$B$28*'Assumptions'!$B$9*20*(1+0.15)^3+'Assumptions'!$B$30-'Assumptions'!$B$31)/'Assumptions'!$B$29,0)</f>
        <v/>
      </c>
      <c r="E24" s="127">
        <f>IF('Assumptions'!$B$29&gt;0,('Assumptions'!$B$28*'Assumptions'!$B$9*20*(1+0.2)^3+'Assumptions'!$B$30-'Assumptions'!$B$31)/'Assumptions'!$B$29,0)</f>
        <v/>
      </c>
      <c r="F24" s="127">
        <f>IF('Assumptions'!$B$29&gt;0,('Assumptions'!$B$28*'Assumptions'!$B$9*20*(1+0.25)^3+'Assumptions'!$B$30-'Assumptions'!$B$31)/'Assumptions'!$B$29,0)</f>
        <v/>
      </c>
      <c r="G24" s="127">
        <f>IF('Assumptions'!$B$29&gt;0,('Assumptions'!$B$28*'Assumptions'!$B$9*20*(1+0.3)^3+'Assumptions'!$B$30-'Assumptions'!$B$31)/'Assumptions'!$B$29,0)</f>
        <v/>
      </c>
      <c r="H24" s="127">
        <f>IF('Assumptions'!$B$29&gt;0,('Assumptions'!$B$28*'Assumptions'!$B$9*20*(1+0.35)^3+'Assumptions'!$B$30-'Assumptions'!$B$31)/'Assumptions'!$B$29,0)</f>
        <v/>
      </c>
    </row>
    <row r="27">
      <c r="A27" s="63" t="inlineStr">
        <is>
          <t>MATRIX 3 — FCF Yield: Growth (rows) vs EBIT Margin (cols)</t>
        </is>
      </c>
    </row>
    <row r="28">
      <c r="A28" s="125" t="inlineStr">
        <is>
          <t>Growth ↓  \  Margin →</t>
        </is>
      </c>
      <c r="B28" s="128" t="n">
        <v>0.05</v>
      </c>
      <c r="C28" s="128" t="n">
        <v>0.1</v>
      </c>
      <c r="D28" s="128" t="n">
        <v>0.15</v>
      </c>
      <c r="E28" s="128" t="n">
        <v>0.2</v>
      </c>
      <c r="F28" s="128" t="n">
        <v>0.25</v>
      </c>
      <c r="G28" s="128" t="n">
        <v>0.3</v>
      </c>
    </row>
    <row r="29">
      <c r="A29" s="128" t="n">
        <v>0.1</v>
      </c>
      <c r="B29" s="129">
        <f>IF('Assumptions'!$B$28&gt;0,('Assumptions'!$B$28*0.05*(1-'Assumptions'!$B$12)*(1+0.1)^3-'Assumptions'!$B$28*'Assumptions'!$B$11*(1+0.1)^3)/'Assumptions'!$B$28/'Assumptions'!$B$9,0)</f>
        <v/>
      </c>
      <c r="C29" s="129">
        <f>IF('Assumptions'!$B$28&gt;0,('Assumptions'!$B$28*0.1*(1-'Assumptions'!$B$12)*(1+0.1)^3-'Assumptions'!$B$28*'Assumptions'!$B$11*(1+0.1)^3)/'Assumptions'!$B$28/'Assumptions'!$B$9,0)</f>
        <v/>
      </c>
      <c r="D29" s="129">
        <f>IF('Assumptions'!$B$28&gt;0,('Assumptions'!$B$28*0.15*(1-'Assumptions'!$B$12)*(1+0.1)^3-'Assumptions'!$B$28*'Assumptions'!$B$11*(1+0.1)^3)/'Assumptions'!$B$28/'Assumptions'!$B$9,0)</f>
        <v/>
      </c>
      <c r="E29" s="129">
        <f>IF('Assumptions'!$B$28&gt;0,('Assumptions'!$B$28*0.2*(1-'Assumptions'!$B$12)*(1+0.1)^3-'Assumptions'!$B$28*'Assumptions'!$B$11*(1+0.1)^3)/'Assumptions'!$B$28/'Assumptions'!$B$9,0)</f>
        <v/>
      </c>
      <c r="F29" s="129">
        <f>IF('Assumptions'!$B$28&gt;0,('Assumptions'!$B$28*0.25*(1-'Assumptions'!$B$12)*(1+0.1)^3-'Assumptions'!$B$28*'Assumptions'!$B$11*(1+0.1)^3)/'Assumptions'!$B$28/'Assumptions'!$B$9,0)</f>
        <v/>
      </c>
      <c r="G29" s="129">
        <f>IF('Assumptions'!$B$28&gt;0,('Assumptions'!$B$28*0.3*(1-'Assumptions'!$B$12)*(1+0.1)^3-'Assumptions'!$B$28*'Assumptions'!$B$11*(1+0.1)^3)/'Assumptions'!$B$28/'Assumptions'!$B$9,0)</f>
        <v/>
      </c>
    </row>
    <row r="30">
      <c r="A30" s="128" t="n">
        <v>0.15</v>
      </c>
      <c r="B30" s="129">
        <f>IF('Assumptions'!$B$28&gt;0,('Assumptions'!$B$28*0.05*(1-'Assumptions'!$B$12)*(1+0.15)^3-'Assumptions'!$B$28*'Assumptions'!$B$11*(1+0.15)^3)/'Assumptions'!$B$28/'Assumptions'!$B$9,0)</f>
        <v/>
      </c>
      <c r="C30" s="129">
        <f>IF('Assumptions'!$B$28&gt;0,('Assumptions'!$B$28*0.1*(1-'Assumptions'!$B$12)*(1+0.15)^3-'Assumptions'!$B$28*'Assumptions'!$B$11*(1+0.15)^3)/'Assumptions'!$B$28/'Assumptions'!$B$9,0)</f>
        <v/>
      </c>
      <c r="D30" s="129">
        <f>IF('Assumptions'!$B$28&gt;0,('Assumptions'!$B$28*0.15*(1-'Assumptions'!$B$12)*(1+0.15)^3-'Assumptions'!$B$28*'Assumptions'!$B$11*(1+0.15)^3)/'Assumptions'!$B$28/'Assumptions'!$B$9,0)</f>
        <v/>
      </c>
      <c r="E30" s="129">
        <f>IF('Assumptions'!$B$28&gt;0,('Assumptions'!$B$28*0.2*(1-'Assumptions'!$B$12)*(1+0.15)^3-'Assumptions'!$B$28*'Assumptions'!$B$11*(1+0.15)^3)/'Assumptions'!$B$28/'Assumptions'!$B$9,0)</f>
        <v/>
      </c>
      <c r="F30" s="129">
        <f>IF('Assumptions'!$B$28&gt;0,('Assumptions'!$B$28*0.25*(1-'Assumptions'!$B$12)*(1+0.15)^3-'Assumptions'!$B$28*'Assumptions'!$B$11*(1+0.15)^3)/'Assumptions'!$B$28/'Assumptions'!$B$9,0)</f>
        <v/>
      </c>
      <c r="G30" s="129">
        <f>IF('Assumptions'!$B$28&gt;0,('Assumptions'!$B$28*0.3*(1-'Assumptions'!$B$12)*(1+0.15)^3-'Assumptions'!$B$28*'Assumptions'!$B$11*(1+0.15)^3)/'Assumptions'!$B$28/'Assumptions'!$B$9,0)</f>
        <v/>
      </c>
    </row>
    <row r="31">
      <c r="A31" s="128" t="n">
        <v>0.2</v>
      </c>
      <c r="B31" s="129">
        <f>IF('Assumptions'!$B$28&gt;0,('Assumptions'!$B$28*0.05*(1-'Assumptions'!$B$12)*(1+0.2)^3-'Assumptions'!$B$28*'Assumptions'!$B$11*(1+0.2)^3)/'Assumptions'!$B$28/'Assumptions'!$B$9,0)</f>
        <v/>
      </c>
      <c r="C31" s="129">
        <f>IF('Assumptions'!$B$28&gt;0,('Assumptions'!$B$28*0.1*(1-'Assumptions'!$B$12)*(1+0.2)^3-'Assumptions'!$B$28*'Assumptions'!$B$11*(1+0.2)^3)/'Assumptions'!$B$28/'Assumptions'!$B$9,0)</f>
        <v/>
      </c>
      <c r="D31" s="129">
        <f>IF('Assumptions'!$B$28&gt;0,('Assumptions'!$B$28*0.15*(1-'Assumptions'!$B$12)*(1+0.2)^3-'Assumptions'!$B$28*'Assumptions'!$B$11*(1+0.2)^3)/'Assumptions'!$B$28/'Assumptions'!$B$9,0)</f>
        <v/>
      </c>
      <c r="E31" s="129">
        <f>IF('Assumptions'!$B$28&gt;0,('Assumptions'!$B$28*0.2*(1-'Assumptions'!$B$12)*(1+0.2)^3-'Assumptions'!$B$28*'Assumptions'!$B$11*(1+0.2)^3)/'Assumptions'!$B$28/'Assumptions'!$B$9,0)</f>
        <v/>
      </c>
      <c r="F31" s="129">
        <f>IF('Assumptions'!$B$28&gt;0,('Assumptions'!$B$28*0.25*(1-'Assumptions'!$B$12)*(1+0.2)^3-'Assumptions'!$B$28*'Assumptions'!$B$11*(1+0.2)^3)/'Assumptions'!$B$28/'Assumptions'!$B$9,0)</f>
        <v/>
      </c>
      <c r="G31" s="129">
        <f>IF('Assumptions'!$B$28&gt;0,('Assumptions'!$B$28*0.3*(1-'Assumptions'!$B$12)*(1+0.2)^3-'Assumptions'!$B$28*'Assumptions'!$B$11*(1+0.2)^3)/'Assumptions'!$B$28/'Assumptions'!$B$9,0)</f>
        <v/>
      </c>
    </row>
    <row r="32">
      <c r="A32" s="128" t="n">
        <v>0.25</v>
      </c>
      <c r="B32" s="129">
        <f>IF('Assumptions'!$B$28&gt;0,('Assumptions'!$B$28*0.05*(1-'Assumptions'!$B$12)*(1+0.25)^3-'Assumptions'!$B$28*'Assumptions'!$B$11*(1+0.25)^3)/'Assumptions'!$B$28/'Assumptions'!$B$9,0)</f>
        <v/>
      </c>
      <c r="C32" s="129">
        <f>IF('Assumptions'!$B$28&gt;0,('Assumptions'!$B$28*0.1*(1-'Assumptions'!$B$12)*(1+0.25)^3-'Assumptions'!$B$28*'Assumptions'!$B$11*(1+0.25)^3)/'Assumptions'!$B$28/'Assumptions'!$B$9,0)</f>
        <v/>
      </c>
      <c r="D32" s="129">
        <f>IF('Assumptions'!$B$28&gt;0,('Assumptions'!$B$28*0.15*(1-'Assumptions'!$B$12)*(1+0.25)^3-'Assumptions'!$B$28*'Assumptions'!$B$11*(1+0.25)^3)/'Assumptions'!$B$28/'Assumptions'!$B$9,0)</f>
        <v/>
      </c>
      <c r="E32" s="129">
        <f>IF('Assumptions'!$B$28&gt;0,('Assumptions'!$B$28*0.2*(1-'Assumptions'!$B$12)*(1+0.25)^3-'Assumptions'!$B$28*'Assumptions'!$B$11*(1+0.25)^3)/'Assumptions'!$B$28/'Assumptions'!$B$9,0)</f>
        <v/>
      </c>
      <c r="F32" s="129">
        <f>IF('Assumptions'!$B$28&gt;0,('Assumptions'!$B$28*0.25*(1-'Assumptions'!$B$12)*(1+0.25)^3-'Assumptions'!$B$28*'Assumptions'!$B$11*(1+0.25)^3)/'Assumptions'!$B$28/'Assumptions'!$B$9,0)</f>
        <v/>
      </c>
      <c r="G32" s="129">
        <f>IF('Assumptions'!$B$28&gt;0,('Assumptions'!$B$28*0.3*(1-'Assumptions'!$B$12)*(1+0.25)^3-'Assumptions'!$B$28*'Assumptions'!$B$11*(1+0.25)^3)/'Assumptions'!$B$28/'Assumptions'!$B$9,0)</f>
        <v/>
      </c>
    </row>
    <row r="33">
      <c r="A33" s="128" t="n">
        <v>0.3</v>
      </c>
      <c r="B33" s="129">
        <f>IF('Assumptions'!$B$28&gt;0,('Assumptions'!$B$28*0.05*(1-'Assumptions'!$B$12)*(1+0.3)^3-'Assumptions'!$B$28*'Assumptions'!$B$11*(1+0.3)^3)/'Assumptions'!$B$28/'Assumptions'!$B$9,0)</f>
        <v/>
      </c>
      <c r="C33" s="129">
        <f>IF('Assumptions'!$B$28&gt;0,('Assumptions'!$B$28*0.1*(1-'Assumptions'!$B$12)*(1+0.3)^3-'Assumptions'!$B$28*'Assumptions'!$B$11*(1+0.3)^3)/'Assumptions'!$B$28/'Assumptions'!$B$9,0)</f>
        <v/>
      </c>
      <c r="D33" s="129">
        <f>IF('Assumptions'!$B$28&gt;0,('Assumptions'!$B$28*0.15*(1-'Assumptions'!$B$12)*(1+0.3)^3-'Assumptions'!$B$28*'Assumptions'!$B$11*(1+0.3)^3)/'Assumptions'!$B$28/'Assumptions'!$B$9,0)</f>
        <v/>
      </c>
      <c r="E33" s="129">
        <f>IF('Assumptions'!$B$28&gt;0,('Assumptions'!$B$28*0.2*(1-'Assumptions'!$B$12)*(1+0.3)^3-'Assumptions'!$B$28*'Assumptions'!$B$11*(1+0.3)^3)/'Assumptions'!$B$28/'Assumptions'!$B$9,0)</f>
        <v/>
      </c>
      <c r="F33" s="129">
        <f>IF('Assumptions'!$B$28&gt;0,('Assumptions'!$B$28*0.25*(1-'Assumptions'!$B$12)*(1+0.3)^3-'Assumptions'!$B$28*'Assumptions'!$B$11*(1+0.3)^3)/'Assumptions'!$B$28/'Assumptions'!$B$9,0)</f>
        <v/>
      </c>
      <c r="G33" s="129">
        <f>IF('Assumptions'!$B$28&gt;0,('Assumptions'!$B$28*0.3*(1-'Assumptions'!$B$12)*(1+0.3)^3-'Assumptions'!$B$28*'Assumptions'!$B$11*(1+0.3)^3)/'Assumptions'!$B$28/'Assumptions'!$B$9,0)</f>
        <v/>
      </c>
    </row>
    <row r="34">
      <c r="A34" s="128" t="n">
        <v>0.35</v>
      </c>
      <c r="B34" s="129">
        <f>IF('Assumptions'!$B$28&gt;0,('Assumptions'!$B$28*0.05*(1-'Assumptions'!$B$12)*(1+0.35)^3-'Assumptions'!$B$28*'Assumptions'!$B$11*(1+0.35)^3)/'Assumptions'!$B$28/'Assumptions'!$B$9,0)</f>
        <v/>
      </c>
      <c r="C34" s="129">
        <f>IF('Assumptions'!$B$28&gt;0,('Assumptions'!$B$28*0.1*(1-'Assumptions'!$B$12)*(1+0.35)^3-'Assumptions'!$B$28*'Assumptions'!$B$11*(1+0.35)^3)/'Assumptions'!$B$28/'Assumptions'!$B$9,0)</f>
        <v/>
      </c>
      <c r="D34" s="129">
        <f>IF('Assumptions'!$B$28&gt;0,('Assumptions'!$B$28*0.15*(1-'Assumptions'!$B$12)*(1+0.35)^3-'Assumptions'!$B$28*'Assumptions'!$B$11*(1+0.35)^3)/'Assumptions'!$B$28/'Assumptions'!$B$9,0)</f>
        <v/>
      </c>
      <c r="E34" s="129">
        <f>IF('Assumptions'!$B$28&gt;0,('Assumptions'!$B$28*0.2*(1-'Assumptions'!$B$12)*(1+0.35)^3-'Assumptions'!$B$28*'Assumptions'!$B$11*(1+0.35)^3)/'Assumptions'!$B$28/'Assumptions'!$B$9,0)</f>
        <v/>
      </c>
      <c r="F34" s="129">
        <f>IF('Assumptions'!$B$28&gt;0,('Assumptions'!$B$28*0.25*(1-'Assumptions'!$B$12)*(1+0.35)^3-'Assumptions'!$B$28*'Assumptions'!$B$11*(1+0.35)^3)/'Assumptions'!$B$28/'Assumptions'!$B$9,0)</f>
        <v/>
      </c>
      <c r="G34" s="129">
        <f>IF('Assumptions'!$B$28&gt;0,('Assumptions'!$B$28*0.3*(1-'Assumptions'!$B$12)*(1+0.35)^3-'Assumptions'!$B$28*'Assumptions'!$B$11*(1+0.35)^3)/'Assumptions'!$B$28/'Assumptions'!$B$9,0)</f>
        <v/>
      </c>
    </row>
  </sheetData>
  <sheetProtection selectLockedCells="0" selectUnlockedCells="0" sheet="1" objects="0" insertRows="0" insertHyperlinks="1" autoFilter="1" scenarios="0" formatColumns="1" deleteColumns="1" insertColumns="1" pivotTables="1" deleteRows="0" formatCells="0" formatRows="1" sort="1"/>
  <mergeCells count="5">
    <mergeCell ref="A4:H4"/>
    <mergeCell ref="A15:H15"/>
    <mergeCell ref="A27:G27"/>
    <mergeCell ref="A3:G3"/>
    <mergeCell ref="A1:L1"/>
  </mergeCells>
  <conditionalFormatting sqref="B6:G12">
    <cfRule type="colorScale" priority="1">
      <colorScale>
        <cfvo type="min"/>
        <cfvo type="percentile" val="50"/>
        <cfvo type="max"/>
        <color rgb="00C41E3A"/>
        <color rgb="00FFEB84"/>
        <color rgb="00375623"/>
      </colorScale>
    </cfRule>
  </conditionalFormatting>
  <conditionalFormatting sqref="A6">
    <cfRule type="expression" priority="2" dxfId="0">
      <formula>=ABS(A6-'Assumptions'!$B$5)&lt;0.005</formula>
    </cfRule>
  </conditionalFormatting>
  <conditionalFormatting sqref="A7">
    <cfRule type="expression" priority="3" dxfId="0">
      <formula>=ABS(A7-'Assumptions'!$B$5)&lt;0.005</formula>
    </cfRule>
  </conditionalFormatting>
  <conditionalFormatting sqref="A8">
    <cfRule type="expression" priority="4" dxfId="0">
      <formula>=ABS(A8-'Assumptions'!$B$5)&lt;0.005</formula>
    </cfRule>
  </conditionalFormatting>
  <conditionalFormatting sqref="A9">
    <cfRule type="expression" priority="5" dxfId="0">
      <formula>=ABS(A9-'Assumptions'!$B$5)&lt;0.005</formula>
    </cfRule>
  </conditionalFormatting>
  <conditionalFormatting sqref="A10">
    <cfRule type="expression" priority="6" dxfId="0">
      <formula>=ABS(A10-'Assumptions'!$B$5)&lt;0.005</formula>
    </cfRule>
  </conditionalFormatting>
  <conditionalFormatting sqref="A11">
    <cfRule type="expression" priority="7" dxfId="0">
      <formula>=ABS(A11-'Assumptions'!$B$5)&lt;0.005</formula>
    </cfRule>
  </conditionalFormatting>
  <conditionalFormatting sqref="A12">
    <cfRule type="expression" priority="8" dxfId="0">
      <formula>=ABS(A12-'Assumptions'!$B$5)&lt;0.005</formula>
    </cfRule>
  </conditionalFormatting>
  <conditionalFormatting sqref="B17:H24">
    <cfRule type="colorScale" priority="9">
      <colorScale>
        <cfvo type="min"/>
        <cfvo type="percentile" val="50"/>
        <cfvo type="max"/>
        <color rgb="00C41E3A"/>
        <color rgb="00FFEB84"/>
        <color rgb="00375623"/>
      </colorScale>
    </cfRule>
  </conditionalFormatting>
  <conditionalFormatting sqref="B29:G34">
    <cfRule type="colorScale" priority="10">
      <colorScale>
        <cfvo type="min"/>
        <cfvo type="percentile" val="50"/>
        <cfvo type="max"/>
        <color rgb="00C41E3A"/>
        <color rgb="00FFEB84"/>
        <color rgb="00375623"/>
      </colorScale>
    </cfRule>
  </conditionalFormatting>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12.xml><?xml version="1.0" encoding="utf-8"?>
<worksheet xmlns="http://schemas.openxmlformats.org/spreadsheetml/2006/main">
  <sheetPr>
    <tabColor rgb="000071E3"/>
    <outlinePr summaryBelow="1" summaryRight="1"/>
    <pageSetUpPr fitToPage="1"/>
  </sheetPr>
  <dimension ref="A1:R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12" customWidth="1" min="4" max="4"/>
    <col width="12" customWidth="1" min="5" max="5"/>
    <col width="10" customWidth="1" min="6" max="6"/>
    <col width="12" customWidth="1" min="7" max="7"/>
    <col width="12" customWidth="1" min="8" max="8"/>
    <col width="14" customWidth="1" min="9" max="9"/>
  </cols>
  <sheetData>
    <row r="1" ht="32" customHeight="1">
      <c r="A1" s="21" t="inlineStr">
        <is>
          <t xml:space="preserve">   — Comparable Company Analysis    |    Peer multiples, applied valuations, scatter &amp; radar charts</t>
        </is>
      </c>
    </row>
    <row r="2"/>
    <row r="3">
      <c r="A3" s="23" t="inlineStr">
        <is>
          <t>Company</t>
        </is>
      </c>
      <c r="B3" s="23" t="inlineStr">
        <is>
          <t>Ticker</t>
        </is>
      </c>
      <c r="C3" s="23" t="inlineStr">
        <is>
          <t>EV ($B)</t>
        </is>
      </c>
      <c r="D3" s="23" t="inlineStr">
        <is>
          <t>EV/Rev</t>
        </is>
      </c>
      <c r="E3" s="23" t="inlineStr">
        <is>
          <t>EV/EBITDA</t>
        </is>
      </c>
      <c r="F3" s="23" t="inlineStr">
        <is>
          <t>P/E</t>
        </is>
      </c>
      <c r="G3" s="23" t="inlineStr">
        <is>
          <t>Rev Growth</t>
        </is>
      </c>
      <c r="H3" s="23" t="inlineStr">
        <is>
          <t>EBITDA %</t>
        </is>
      </c>
      <c r="I3" s="23" t="inlineStr">
        <is>
          <t>Mkt Cap ($B)</t>
        </is>
      </c>
      <c r="K3" t="inlineStr">
        <is>
          <t>Peer</t>
        </is>
      </c>
      <c r="L3" t="inlineStr">
        <is>
          <t>RevGrowth</t>
        </is>
      </c>
      <c r="M3" t="inlineStr">
        <is>
          <t>EV_EBITDA</t>
        </is>
      </c>
      <c r="N3" t="inlineStr">
        <is>
          <t>Metric</t>
        </is>
      </c>
      <c r="P3" t="inlineStr">
        <is>
          <t>Microsoft</t>
        </is>
      </c>
      <c r="Q3" t="inlineStr">
        <is>
          <t>Alphabet</t>
        </is>
      </c>
      <c r="R3" t="inlineStr">
        <is>
          <t>Meta</t>
        </is>
      </c>
    </row>
    <row r="4">
      <c r="A4" s="55" t="inlineStr">
        <is>
          <t>Microsoft</t>
        </is>
      </c>
      <c r="B4" s="57" t="inlineStr">
        <is>
          <t>MSFT</t>
        </is>
      </c>
      <c r="C4" s="74" t="n">
        <v>3250</v>
      </c>
      <c r="D4" s="90" t="n">
        <v>13.3</v>
      </c>
      <c r="E4" s="90" t="n">
        <v>26.4</v>
      </c>
      <c r="F4" s="90" t="n">
        <v>34.2</v>
      </c>
      <c r="G4" s="73" t="n">
        <v>0.155</v>
      </c>
      <c r="H4" s="73" t="n">
        <v>0.445</v>
      </c>
      <c r="I4" s="74" t="n">
        <v>3250</v>
      </c>
      <c r="K4" t="inlineStr">
        <is>
          <t>Microsoft</t>
        </is>
      </c>
      <c r="L4" t="n">
        <v>0.155</v>
      </c>
      <c r="M4" t="n">
        <v>26.4</v>
      </c>
      <c r="N4" t="inlineStr">
        <is>
          <t>EV/Rev</t>
        </is>
      </c>
      <c r="O4" t="n">
        <v>10</v>
      </c>
      <c r="P4" t="n">
        <v>10</v>
      </c>
      <c r="Q4" t="n">
        <v>6.5</v>
      </c>
      <c r="R4" t="n">
        <v>10</v>
      </c>
    </row>
    <row r="5">
      <c r="A5" s="58" t="inlineStr">
        <is>
          <t>Alphabet</t>
        </is>
      </c>
      <c r="B5" s="59" t="inlineStr">
        <is>
          <t>GOOGL</t>
        </is>
      </c>
      <c r="C5" s="81" t="n">
        <v>2200</v>
      </c>
      <c r="D5" s="91" t="n">
        <v>6.5</v>
      </c>
      <c r="E5" s="91" t="n">
        <v>18.1</v>
      </c>
      <c r="F5" s="91" t="n">
        <v>22.8</v>
      </c>
      <c r="G5" s="92" t="n">
        <v>0.08599999999999999</v>
      </c>
      <c r="H5" s="92" t="n">
        <v>0.272</v>
      </c>
      <c r="I5" s="81" t="n">
        <v>2200</v>
      </c>
      <c r="K5" t="inlineStr">
        <is>
          <t>Alphabet</t>
        </is>
      </c>
      <c r="L5" t="n">
        <v>0.08599999999999999</v>
      </c>
      <c r="M5" t="n">
        <v>18.1</v>
      </c>
      <c r="N5" t="inlineStr">
        <is>
          <t>EV/EBITDA</t>
        </is>
      </c>
      <c r="O5" t="n">
        <v>10</v>
      </c>
      <c r="P5" t="n">
        <v>10</v>
      </c>
      <c r="Q5" t="n">
        <v>10</v>
      </c>
      <c r="R5" t="n">
        <v>10</v>
      </c>
    </row>
    <row r="6">
      <c r="A6" s="55" t="inlineStr">
        <is>
          <t>Meta</t>
        </is>
      </c>
      <c r="B6" s="57" t="inlineStr">
        <is>
          <t>META</t>
        </is>
      </c>
      <c r="C6" s="74" t="n">
        <v>1550</v>
      </c>
      <c r="D6" s="90" t="n">
        <v>11.5</v>
      </c>
      <c r="E6" s="90" t="n">
        <v>15.3</v>
      </c>
      <c r="F6" s="90" t="n">
        <v>23.1</v>
      </c>
      <c r="G6" s="73" t="n">
        <v>0.22</v>
      </c>
      <c r="H6" s="73" t="n">
        <v>0.381</v>
      </c>
      <c r="I6" s="74" t="n">
        <v>1550</v>
      </c>
      <c r="K6" t="inlineStr">
        <is>
          <t>Meta</t>
        </is>
      </c>
      <c r="L6" t="n">
        <v>0.22</v>
      </c>
      <c r="M6" t="n">
        <v>15.3</v>
      </c>
      <c r="N6" t="inlineStr">
        <is>
          <t>Rev Growth</t>
        </is>
      </c>
      <c r="O6" t="n">
        <v>10</v>
      </c>
      <c r="P6" t="n">
        <v>10</v>
      </c>
      <c r="Q6" t="n">
        <v>8.6</v>
      </c>
      <c r="R6" t="n">
        <v>10</v>
      </c>
    </row>
    <row r="7">
      <c r="A7" s="58" t="inlineStr">
        <is>
          <t>Amazon</t>
        </is>
      </c>
      <c r="B7" s="59" t="inlineStr">
        <is>
          <t>AMZN</t>
        </is>
      </c>
      <c r="C7" s="81" t="n">
        <v>2400</v>
      </c>
      <c r="D7" s="91" t="n">
        <v>3.9</v>
      </c>
      <c r="E7" s="91" t="n">
        <v>19.8</v>
      </c>
      <c r="F7" s="91" t="n">
        <v>41.6</v>
      </c>
      <c r="G7" s="92" t="n">
        <v>0.121</v>
      </c>
      <c r="H7" s="92" t="n">
        <v>0.089</v>
      </c>
      <c r="I7" s="81" t="n">
        <v>2400</v>
      </c>
      <c r="K7" t="inlineStr">
        <is>
          <t>Amazon</t>
        </is>
      </c>
      <c r="L7" t="n">
        <v>0.121</v>
      </c>
      <c r="M7" t="n">
        <v>19.8</v>
      </c>
      <c r="N7" t="inlineStr">
        <is>
          <t>EBITDA %</t>
        </is>
      </c>
      <c r="O7" t="n">
        <v>10</v>
      </c>
      <c r="P7" t="n">
        <v>10</v>
      </c>
      <c r="Q7" t="n">
        <v>10</v>
      </c>
      <c r="R7" t="n">
        <v>10</v>
      </c>
    </row>
    <row r="8">
      <c r="A8" s="55" t="inlineStr">
        <is>
          <t>NVIDIA</t>
        </is>
      </c>
      <c r="B8" s="57" t="inlineStr">
        <is>
          <t>NVDA</t>
        </is>
      </c>
      <c r="C8" s="74" t="n">
        <v>3400</v>
      </c>
      <c r="D8" s="90" t="n">
        <v>18.2</v>
      </c>
      <c r="E8" s="90" t="n">
        <v>31.5</v>
      </c>
      <c r="F8" s="90" t="n">
        <v>38.4</v>
      </c>
      <c r="G8" s="73" t="n">
        <v>0.951</v>
      </c>
      <c r="H8" s="73" t="n">
        <v>0.546</v>
      </c>
      <c r="I8" s="74" t="n">
        <v>3400</v>
      </c>
      <c r="K8" t="inlineStr">
        <is>
          <t>NVIDIA</t>
        </is>
      </c>
      <c r="L8" t="n">
        <v>0.951</v>
      </c>
      <c r="M8" t="n">
        <v>31.5</v>
      </c>
      <c r="N8" t="inlineStr">
        <is>
          <t>P/E</t>
        </is>
      </c>
      <c r="O8" t="n">
        <v>10</v>
      </c>
      <c r="P8" t="n">
        <v>10</v>
      </c>
      <c r="Q8" t="n">
        <v>10</v>
      </c>
      <c r="R8" t="n">
        <v>10</v>
      </c>
    </row>
    <row r="9">
      <c r="A9" s="88" t="inlineStr">
        <is>
          <t>MEDIAN</t>
        </is>
      </c>
      <c r="D9" s="130" t="n">
        <v>11.5</v>
      </c>
      <c r="E9" s="130" t="n">
        <v>19.8</v>
      </c>
      <c r="F9" s="130" t="n">
        <v>34.2</v>
      </c>
      <c r="G9" s="131" t="n">
        <v>0.155</v>
      </c>
      <c r="H9" s="131" t="n">
        <v>0.381</v>
      </c>
    </row>
    <row r="10"/>
    <row r="11"/>
    <row r="12">
      <c r="A12" s="63" t="inlineStr">
        <is>
          <t>APPLIED VALUATION</t>
        </is>
      </c>
    </row>
    <row r="13">
      <c r="A13" s="23" t="inlineStr">
        <is>
          <t>Metric</t>
        </is>
      </c>
      <c r="B13" s="23" t="inlineStr">
        <is>
          <t>Subject Multiple</t>
        </is>
      </c>
      <c r="C13" s="23" t="inlineStr">
        <is>
          <t>Median Peer</t>
        </is>
      </c>
      <c r="D13" s="23" t="inlineStr">
        <is>
          <t>Subject Value</t>
        </is>
      </c>
      <c r="E13" s="23" t="inlineStr">
        <is>
          <t>Applied EV ($B)</t>
        </is>
      </c>
      <c r="F13" s="23" t="inlineStr">
        <is>
          <t>Implied EPS</t>
        </is>
      </c>
      <c r="G13" s="23" t="inlineStr">
        <is>
          <t>Note</t>
        </is>
      </c>
    </row>
    <row r="14">
      <c r="A14" s="55" t="inlineStr">
        <is>
          <t>EV / Revenue</t>
        </is>
      </c>
      <c r="B14" s="90" t="n">
        <v>11.5</v>
      </c>
      <c r="C14" s="90" t="n">
        <v>11.5</v>
      </c>
      <c r="D14" s="132" t="n">
        <v>391035</v>
      </c>
      <c r="E14" s="74" t="n">
        <v>4496.9025</v>
      </c>
      <c r="F14" s="64" t="n">
        <v>299.9698441643889</v>
      </c>
      <c r="G14" s="133" t="inlineStr">
        <is>
          <t>Median peer multiple applied</t>
        </is>
      </c>
    </row>
    <row r="15">
      <c r="A15" s="58" t="inlineStr">
        <is>
          <t>EV / EBITDA</t>
        </is>
      </c>
      <c r="B15" s="91" t="n">
        <v>19.8</v>
      </c>
      <c r="C15" s="91" t="n">
        <v>19.8</v>
      </c>
      <c r="D15" s="134" t="n">
        <v>134671</v>
      </c>
      <c r="E15" s="81" t="n">
        <v>2666.4858</v>
      </c>
      <c r="F15" s="66" t="n">
        <v>176.0691817513535</v>
      </c>
      <c r="G15" s="133" t="inlineStr">
        <is>
          <t>Median peer multiple applied</t>
        </is>
      </c>
    </row>
    <row r="16">
      <c r="A16" s="55" t="inlineStr">
        <is>
          <t>P/E Implied</t>
        </is>
      </c>
      <c r="B16" s="90" t="n">
        <v>34.2</v>
      </c>
      <c r="C16" s="90" t="n">
        <v>34.2</v>
      </c>
      <c r="D16" s="132" t="n">
        <v>93736</v>
      </c>
      <c r="E16" s="74" t="n">
        <v>3205.771200000001</v>
      </c>
      <c r="F16" s="64" t="n">
        <v>212.573338586067</v>
      </c>
      <c r="G16" s="133" t="inlineStr">
        <is>
          <t>Median peer multiple applied</t>
        </is>
      </c>
    </row>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2">
    <mergeCell ref="A12:I12"/>
    <mergeCell ref="A1:L1"/>
  </mergeCells>
  <conditionalFormatting sqref="E4:E9">
    <cfRule type="dataBar" priority="1">
      <dataBar>
        <cfvo type="min" val="0"/>
        <cfvo type="max"/>
        <color rgb="000071E3"/>
      </dataBar>
    </cfRule>
  </conditionalFormatting>
  <conditionalFormatting sqref="F4:F9">
    <cfRule type="dataBar" priority="2">
      <dataBar>
        <cfvo type="min" val="0"/>
        <cfvo type="max"/>
        <color rgb="0034C759"/>
      </dataBar>
    </cfRule>
  </conditionalFormatting>
  <conditionalFormatting sqref="G4:G9">
    <cfRule type="dataBar" priority="3">
      <dataBar>
        <cfvo type="min" val="0"/>
        <cfvo type="max"/>
        <color rgb="000071E3"/>
      </dataBar>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tableParts count="2">
    <tablePart xmlns:r="http://schemas.openxmlformats.org/officeDocument/2006/relationships" r:id="rId2"/>
    <tablePart xmlns:r="http://schemas.openxmlformats.org/officeDocument/2006/relationships" r:id="rId3"/>
  </tableParts>
</worksheet>
</file>

<file path=xl/worksheets/sheet13.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10" customWidth="1" min="3" max="3"/>
    <col width="14" customWidth="1" min="4" max="4"/>
    <col width="10" customWidth="1" min="5" max="5"/>
    <col width="12" customWidth="1" min="6" max="6"/>
    <col width="10" customWidth="1" min="7" max="7"/>
    <col width="20" customWidth="1" min="8" max="8"/>
  </cols>
  <sheetData>
    <row r="1" ht="32" customHeight="1">
      <c r="A1" s="21" t="inlineStr">
        <is>
          <t xml:space="preserve">   — Precedent Transactions    |    Historical M&amp;A comps and implied valuation</t>
        </is>
      </c>
    </row>
    <row r="2"/>
    <row r="3">
      <c r="A3" s="23" t="inlineStr">
        <is>
          <t>Target</t>
        </is>
      </c>
      <c r="B3" s="23" t="inlineStr">
        <is>
          <t>Acquirer</t>
        </is>
      </c>
      <c r="C3" s="23" t="inlineStr">
        <is>
          <t>Date</t>
        </is>
      </c>
      <c r="D3" s="23" t="inlineStr">
        <is>
          <t>Deal Size ($B)</t>
        </is>
      </c>
      <c r="E3" s="23" t="inlineStr">
        <is>
          <t>EV/Rev</t>
        </is>
      </c>
      <c r="F3" s="23" t="inlineStr">
        <is>
          <t>EV/EBITDA</t>
        </is>
      </c>
      <c r="G3" s="23" t="inlineStr">
        <is>
          <t>Premium</t>
        </is>
      </c>
      <c r="H3" s="23" t="inlineStr">
        <is>
          <t>Sector</t>
        </is>
      </c>
    </row>
    <row r="4">
      <c r="A4" s="55" t="inlineStr">
        <is>
          <t>Activision/Microsoft</t>
        </is>
      </c>
      <c r="B4" s="55" t="inlineStr">
        <is>
          <t>Various</t>
        </is>
      </c>
      <c r="C4" s="57" t="inlineStr">
        <is>
          <t>2023</t>
        </is>
      </c>
      <c r="D4" s="74" t="n">
        <v>0</v>
      </c>
      <c r="E4" s="90" t="n">
        <v>5.8</v>
      </c>
      <c r="F4" s="90" t="n">
        <v>20.1</v>
      </c>
      <c r="G4" s="73" t="n">
        <v>0</v>
      </c>
      <c r="H4" s="57" t="inlineStr">
        <is>
          <t>Technology</t>
        </is>
      </c>
    </row>
    <row r="5">
      <c r="A5" s="58" t="inlineStr">
        <is>
          <t>VMware/Broadcom</t>
        </is>
      </c>
      <c r="B5" s="58" t="inlineStr">
        <is>
          <t>Various</t>
        </is>
      </c>
      <c r="C5" s="59" t="inlineStr">
        <is>
          <t>2023</t>
        </is>
      </c>
      <c r="D5" s="81" t="n">
        <v>0</v>
      </c>
      <c r="E5" s="91" t="n">
        <v>7.2</v>
      </c>
      <c r="F5" s="91" t="n">
        <v>28.5</v>
      </c>
      <c r="G5" s="92" t="n">
        <v>0</v>
      </c>
      <c r="H5" s="59" t="inlineStr">
        <is>
          <t>Technology</t>
        </is>
      </c>
    </row>
    <row r="6">
      <c r="A6" s="55" t="inlineStr">
        <is>
          <t>Nuance/Microsoft</t>
        </is>
      </c>
      <c r="B6" s="55" t="inlineStr">
        <is>
          <t>Various</t>
        </is>
      </c>
      <c r="C6" s="57" t="inlineStr">
        <is>
          <t>2022</t>
        </is>
      </c>
      <c r="D6" s="74" t="n">
        <v>0</v>
      </c>
      <c r="E6" s="90" t="n">
        <v>9.1</v>
      </c>
      <c r="F6" s="90" t="n">
        <v>0</v>
      </c>
      <c r="G6" s="73" t="n">
        <v>0</v>
      </c>
      <c r="H6" s="57" t="inlineStr">
        <is>
          <t>Technology</t>
        </is>
      </c>
    </row>
    <row r="7">
      <c r="A7" s="58" t="inlineStr">
        <is>
          <t>Citrix/Vista+Elliott</t>
        </is>
      </c>
      <c r="B7" s="58" t="inlineStr">
        <is>
          <t>Various</t>
        </is>
      </c>
      <c r="C7" s="59" t="inlineStr">
        <is>
          <t>2022</t>
        </is>
      </c>
      <c r="D7" s="81" t="n">
        <v>0</v>
      </c>
      <c r="E7" s="91" t="n">
        <v>5.8</v>
      </c>
      <c r="F7" s="91" t="n">
        <v>16.2</v>
      </c>
      <c r="G7" s="92" t="n">
        <v>0</v>
      </c>
      <c r="H7" s="59" t="inlineStr">
        <is>
          <t>Technology</t>
        </is>
      </c>
    </row>
    <row r="8">
      <c r="A8" s="55" t="inlineStr">
        <is>
          <t>Zendesk/Permira consortium</t>
        </is>
      </c>
      <c r="B8" s="55" t="inlineStr">
        <is>
          <t>Various</t>
        </is>
      </c>
      <c r="C8" s="57" t="inlineStr">
        <is>
          <t>2022</t>
        </is>
      </c>
      <c r="D8" s="74" t="n">
        <v>0</v>
      </c>
      <c r="E8" s="90" t="n">
        <v>6.3</v>
      </c>
      <c r="F8" s="90" t="n">
        <v>0</v>
      </c>
      <c r="G8" s="73" t="n">
        <v>0</v>
      </c>
      <c r="H8" s="57" t="inlineStr">
        <is>
          <t>Technology</t>
        </is>
      </c>
    </row>
    <row r="9"/>
    <row r="10">
      <c r="A10" s="63" t="inlineStr">
        <is>
          <t>APPLIED PRECEDENT VALUATION</t>
        </is>
      </c>
    </row>
    <row r="11">
      <c r="A11" s="23" t="inlineStr">
        <is>
          <t>Metric</t>
        </is>
      </c>
      <c r="B11" s="23" t="inlineStr">
        <is>
          <t>Median Multiple</t>
        </is>
      </c>
      <c r="C11" s="23" t="inlineStr">
        <is>
          <t>Subject Base ($M)</t>
        </is>
      </c>
      <c r="D11" s="23" t="inlineStr">
        <is>
          <t>Implied EV ($B)</t>
        </is>
      </c>
      <c r="E11" s="23" t="inlineStr">
        <is>
          <t>Equity / Share</t>
        </is>
      </c>
      <c r="F11" s="23" t="inlineStr">
        <is>
          <t>Note</t>
        </is>
      </c>
    </row>
    <row r="12">
      <c r="A12" s="55" t="inlineStr">
        <is>
          <t>EV/Revenue</t>
        </is>
      </c>
      <c r="B12" s="90" t="n">
        <v>6.3</v>
      </c>
      <c r="C12" s="132" t="n">
        <v>391035</v>
      </c>
      <c r="D12" s="74" t="n">
        <v>2463.5205</v>
      </c>
      <c r="E12" s="64" t="n">
        <v>162.3304876513376</v>
      </c>
      <c r="F12" s="55" t="inlineStr">
        <is>
          <t>Median precedent EV/Revenue</t>
        </is>
      </c>
    </row>
    <row r="13">
      <c r="A13" s="58" t="inlineStr">
        <is>
          <t>EV/EBITDA</t>
        </is>
      </c>
      <c r="B13" s="91" t="n">
        <v>20.1</v>
      </c>
      <c r="C13" s="134" t="n">
        <v>134671</v>
      </c>
      <c r="D13" s="81" t="n">
        <v>2706.8871</v>
      </c>
      <c r="E13" s="66" t="n">
        <v>178.8039403625199</v>
      </c>
      <c r="F13" s="58" t="inlineStr">
        <is>
          <t>Median precedent EV/EBITDA</t>
        </is>
      </c>
    </row>
    <row r="14">
      <c r="A14" s="55" t="inlineStr">
        <is>
          <t>Control Premium</t>
        </is>
      </c>
      <c r="B14" s="73" t="n">
        <v>0</v>
      </c>
      <c r="C14" s="132" t="n">
        <v>3240000</v>
      </c>
      <c r="D14" s="74" t="n">
        <v>3240</v>
      </c>
      <c r="E14" s="64" t="n">
        <v>214.8902814950796</v>
      </c>
      <c r="F14" s="55" t="inlineStr">
        <is>
          <t>Vs current market cap</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2">
    <mergeCell ref="A1:L1"/>
    <mergeCell ref="A10:H10"/>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tableParts count="2">
    <tablePart xmlns:r="http://schemas.openxmlformats.org/officeDocument/2006/relationships" r:id="rId1"/>
    <tablePart xmlns:r="http://schemas.openxmlformats.org/officeDocument/2006/relationships" r:id="rId2"/>
  </tableParts>
</worksheet>
</file>

<file path=xl/worksheets/sheet14.xml><?xml version="1.0" encoding="utf-8"?>
<worksheet xmlns="http://schemas.openxmlformats.org/spreadsheetml/2006/main">
  <sheetPr>
    <tabColor rgb="000071E3"/>
    <outlinePr summaryBelow="1" summaryRight="1"/>
    <pageSetUpPr fitToPage="1"/>
  </sheetPr>
  <dimension ref="A1:S34"/>
  <sheetViews>
    <sheetView showGridLines="0" workbookViewId="0">
      <pane ySplit="3" topLeftCell="A4" activePane="bottomLeft" state="frozen"/>
      <selection pane="bottomLeft" activeCell="A1" sqref="A1"/>
    </sheetView>
  </sheetViews>
  <sheetFormatPr baseColWidth="8" defaultRowHeight="15"/>
  <cols>
    <col width="10" customWidth="1" min="1" max="1"/>
    <col width="14" customWidth="1" min="2" max="2"/>
    <col width="14" customWidth="1" min="3" max="3"/>
    <col width="14" customWidth="1" min="4" max="4"/>
    <col width="14" customWidth="1" min="5" max="5"/>
    <col width="14" customWidth="1" min="6" max="6"/>
    <col width="12" customWidth="1" min="7" max="7"/>
  </cols>
  <sheetData>
    <row r="1" ht="32" customHeight="1">
      <c r="A1" s="21" t="inlineStr">
        <is>
          <t xml:space="preserve">   — LBO Analysis    |    v31 Dual-Compute — formulas reference Assumptions; Python floats drive PPTX/MC</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ht="30" customHeight="1">
      <c r="A3" s="135" t="inlineStr">
        <is>
          <t xml:space="preserve">  [Dual-Compute]  All value cells contain live Excel formulas referencing Assumptions sheet (change lbo_ev, lbo_lev etc. there to update this model). Python floats are computed separately by val_core for PPTX slide deck and Monte Carlo simulation.</t>
        </is>
      </c>
    </row>
    <row r="4">
      <c r="A4" s="76" t="inlineStr">
        <is>
          <t xml:space="preserve">  ENTRY &amp; CAPITAL STRUCTURE</t>
        </is>
      </c>
    </row>
    <row r="5">
      <c r="A5" s="23" t="inlineStr">
        <is>
          <t>Parameter</t>
        </is>
      </c>
      <c r="B5" s="23" t="inlineStr">
        <is>
          <t>Value  [Excel formula]</t>
        </is>
      </c>
      <c r="C5" s="23" t="inlineStr">
        <is>
          <t>Commentary</t>
        </is>
      </c>
    </row>
    <row r="6">
      <c r="A6" s="55" t="inlineStr">
        <is>
          <t>Entry EV ($M)</t>
        </is>
      </c>
      <c r="B6" s="136">
        <f>'Assumptions'!$B$43</f>
        <v/>
      </c>
      <c r="C6" s="112" t="inlineStr">
        <is>
          <t>Enterprise value at entry — edit in Assumptions (B43)</t>
        </is>
      </c>
    </row>
    <row r="7">
      <c r="A7" s="58" t="inlineStr">
        <is>
          <t>Entry Equity ($M)</t>
        </is>
      </c>
      <c r="B7" s="137">
        <f>'Assumptions'!$B$43*'Assumptions'!$B$44</f>
        <v/>
      </c>
      <c r="C7" s="114" t="inlineStr">
        <is>
          <t>Sponsor equity = Entry EV x Equity % (Assumptions B44)</t>
        </is>
      </c>
    </row>
    <row r="8">
      <c r="A8" s="55" t="inlineStr">
        <is>
          <t>Debt at Entry ($M)</t>
        </is>
      </c>
      <c r="B8" s="136">
        <f>'Assumptions'!$B$43*(1-'Assumptions'!$B$44)</f>
        <v/>
      </c>
      <c r="C8" s="112" t="inlineStr">
        <is>
          <t>Senior debt + subordinated notes at close</t>
        </is>
      </c>
    </row>
    <row r="9">
      <c r="A9" s="58" t="inlineStr">
        <is>
          <t>Leverage (Debt/EBITDA)</t>
        </is>
      </c>
      <c r="B9" s="138">
        <f>'Assumptions'!$B$39</f>
        <v/>
      </c>
      <c r="C9" s="114" t="inlineStr">
        <is>
          <t>Entry leverage ratio — target range 5-7x; edit in Assumptions (B39)</t>
        </is>
      </c>
    </row>
    <row r="10">
      <c r="A10" s="55" t="inlineStr">
        <is>
          <t>Interest Rate (Blended)</t>
        </is>
      </c>
      <c r="B10" s="139">
        <f>'Assumptions'!$B$40</f>
        <v/>
      </c>
      <c r="C10" s="112" t="inlineStr">
        <is>
          <t>Blended cost of term loans + revolving credit — edit in Assumptions (B40)</t>
        </is>
      </c>
    </row>
    <row r="11">
      <c r="A11" s="58" t="inlineStr">
        <is>
          <t>Hold Period (Years)</t>
        </is>
      </c>
      <c r="B11" s="140">
        <f>'Assumptions'!$B$41</f>
        <v/>
      </c>
      <c r="C11" s="114" t="inlineStr">
        <is>
          <t>Sponsor hold period before exit — edit in Assumptions (B41)</t>
        </is>
      </c>
    </row>
    <row r="13">
      <c r="A13" s="63" t="inlineStr">
        <is>
          <t xml:space="preserve">  EXIT &amp; RETURNS</t>
        </is>
      </c>
    </row>
    <row r="14">
      <c r="A14" s="23" t="inlineStr">
        <is>
          <t>Parameter</t>
        </is>
      </c>
      <c r="B14" s="23" t="inlineStr">
        <is>
          <t>Value  [Excel formula]</t>
        </is>
      </c>
      <c r="C14" s="23" t="inlineStr">
        <is>
          <t>Commentary</t>
        </is>
      </c>
    </row>
    <row r="15">
      <c r="A15" s="58" t="inlineStr">
        <is>
          <t>Exit EV/EBITDA Multiple</t>
        </is>
      </c>
      <c r="B15" s="138">
        <f>'Assumptions'!$B$42</f>
        <v/>
      </c>
      <c r="C15" s="114" t="inlineStr">
        <is>
          <t>Exit multiple assumption — edit in Assumptions (B42)</t>
        </is>
      </c>
    </row>
    <row r="16">
      <c r="A16" s="55" t="inlineStr">
        <is>
          <t>Exit EV ($M)</t>
        </is>
      </c>
      <c r="B16" s="136">
        <f>'Assumptions'!$B$43*('Assumptions'!$B$42/MAX('Assumptions'!$B$39,1))</f>
        <v/>
      </c>
      <c r="C16" s="112" t="inlineStr">
        <is>
          <t>Approximated as Entry EV x (Exit Multiple / Entry Leverage) — verify with full model</t>
        </is>
      </c>
    </row>
    <row r="17">
      <c r="A17" s="58" t="inlineStr">
        <is>
          <t>Exit Equity ($M)</t>
        </is>
      </c>
      <c r="B17" s="137">
        <f>'Assumptions'!$B$43*('Assumptions'!$B$42/MAX('Assumptions'!$B$39,1))-MAX('Assumptions'!$B$43*(1-'Assumptions'!$B$44)-'Assumptions'!$B$43*(1-'Assumptions'!$B$44)*0.5,0)</f>
        <v/>
      </c>
      <c r="C17" s="114" t="inlineStr">
        <is>
          <t>Exit EV minus residual debt after paydown</t>
        </is>
      </c>
    </row>
    <row r="19">
      <c r="A19" s="76" t="inlineStr">
        <is>
          <t xml:space="preserve">  INVESTOR RETURNS  (Python floats — re-run model to update)</t>
        </is>
      </c>
    </row>
    <row r="20">
      <c r="A20" s="23" t="inlineStr">
        <is>
          <t>Metric</t>
        </is>
      </c>
      <c r="B20" s="23" t="inlineStr">
        <is>
          <t>Value</t>
        </is>
      </c>
      <c r="C20" s="23" t="inlineStr">
        <is>
          <t>Commentary</t>
        </is>
      </c>
    </row>
    <row r="21">
      <c r="A21" s="86" t="inlineStr">
        <is>
          <t>MOIC</t>
        </is>
      </c>
      <c r="B21" s="141" t="n">
        <v>2.111298987103016</v>
      </c>
      <c r="C21" s="142" t="inlineStr">
        <is>
          <t>Multiple on invested capital = Exit Equity / Entry Equity (Python / val_core)</t>
        </is>
      </c>
    </row>
    <row r="22">
      <c r="A22" s="143" t="inlineStr">
        <is>
          <t>IRR</t>
        </is>
      </c>
      <c r="B22" s="144" t="n">
        <v>0.1612078093098537</v>
      </c>
      <c r="C22" s="145" t="inlineStr">
        <is>
          <t>Internal rate of return over hold period (Python IRR solver in val_core)</t>
        </is>
      </c>
    </row>
    <row r="23">
      <c r="A23" s="58" t="inlineStr">
        <is>
          <t>Implied Price / Share</t>
        </is>
      </c>
      <c r="B23" s="146" t="n">
        <v>82.04275833499173</v>
      </c>
      <c r="C23" s="114" t="inlineStr">
        <is>
          <t>PE entry price per share = Entry Equity / Shares Outstanding</t>
        </is>
      </c>
    </row>
    <row r="26">
      <c r="A26" s="63" t="inlineStr">
        <is>
          <t xml:space="preserve">  DEBT PAYDOWN SCHEDULE  (illustrative — Python floats)</t>
        </is>
      </c>
    </row>
    <row r="27">
      <c r="A27" s="23" t="inlineStr">
        <is>
          <t>Year</t>
        </is>
      </c>
      <c r="B27" s="23" t="inlineStr">
        <is>
          <t>EBITDA ($M)</t>
        </is>
      </c>
      <c r="C27" s="23" t="inlineStr">
        <is>
          <t>Debt BOY ($M)</t>
        </is>
      </c>
      <c r="D27" s="23" t="inlineStr">
        <is>
          <t>Interest ($M)</t>
        </is>
      </c>
      <c r="E27" s="23" t="inlineStr">
        <is>
          <t>Repaid ($M)</t>
        </is>
      </c>
      <c r="F27" s="23" t="inlineStr">
        <is>
          <t>Debt EOY ($M)</t>
        </is>
      </c>
      <c r="G27" s="23" t="inlineStr">
        <is>
          <t>Leverage</t>
        </is>
      </c>
    </row>
    <row r="28">
      <c r="A28" s="58" t="inlineStr">
        <is>
          <t>Year 1</t>
        </is>
      </c>
      <c r="B28" s="81" t="n">
        <v>150831.52</v>
      </c>
      <c r="C28" s="81" t="n">
        <v>1481381</v>
      </c>
      <c r="D28" s="81" t="n">
        <v>103696.67</v>
      </c>
      <c r="E28" s="81" t="n">
        <v>60332.608</v>
      </c>
      <c r="F28" s="81" t="n">
        <v>1421048.392</v>
      </c>
      <c r="G28" s="91" t="n">
        <v>9.821428571428573</v>
      </c>
    </row>
    <row r="29">
      <c r="A29" s="55" t="inlineStr">
        <is>
          <t>Year 2</t>
        </is>
      </c>
      <c r="B29" s="74" t="n">
        <v>168931.3024</v>
      </c>
      <c r="C29" s="74" t="n">
        <v>1421048.392</v>
      </c>
      <c r="D29" s="74" t="n">
        <v>99473.38744000001</v>
      </c>
      <c r="E29" s="74" t="n">
        <v>67572.52096000002</v>
      </c>
      <c r="F29" s="74" t="n">
        <v>1353475.87104</v>
      </c>
      <c r="G29" s="90" t="n">
        <v>8.411989795918364</v>
      </c>
    </row>
    <row r="30">
      <c r="A30" s="58" t="inlineStr">
        <is>
          <t>Year 3</t>
        </is>
      </c>
      <c r="B30" s="81" t="n">
        <v>189203.058688</v>
      </c>
      <c r="C30" s="81" t="n">
        <v>1353475.87104</v>
      </c>
      <c r="D30" s="81" t="n">
        <v>94743.3109728</v>
      </c>
      <c r="E30" s="81" t="n">
        <v>75681.22347520002</v>
      </c>
      <c r="F30" s="81" t="n">
        <v>1277794.6475648</v>
      </c>
      <c r="G30" s="91" t="n">
        <v>7.153562317784254</v>
      </c>
    </row>
    <row r="31">
      <c r="A31" s="55" t="inlineStr">
        <is>
          <t>Year 4</t>
        </is>
      </c>
      <c r="B31" s="74" t="n">
        <v>211907.4257305601</v>
      </c>
      <c r="C31" s="74" t="n">
        <v>1277794.6475648</v>
      </c>
      <c r="D31" s="74" t="n">
        <v>89445.62532953599</v>
      </c>
      <c r="E31" s="74" t="n">
        <v>84762.97029222404</v>
      </c>
      <c r="F31" s="74" t="n">
        <v>1193031.677272576</v>
      </c>
      <c r="G31" s="90" t="n">
        <v>6.029966355164511</v>
      </c>
    </row>
    <row r="32">
      <c r="A32" s="58" t="inlineStr">
        <is>
          <t>Year 5</t>
        </is>
      </c>
      <c r="B32" s="81" t="n">
        <v>237336.3168182273</v>
      </c>
      <c r="C32" s="81" t="n">
        <v>1193031.677272576</v>
      </c>
      <c r="D32" s="81" t="n">
        <v>83512.2174090803</v>
      </c>
      <c r="E32" s="81" t="n">
        <v>94934.52672729093</v>
      </c>
      <c r="F32" s="81" t="n">
        <v>1098097.150545285</v>
      </c>
      <c r="G32" s="91" t="n">
        <v>5.026755674254027</v>
      </c>
    </row>
    <row r="34" ht="28" customHeight="1">
      <c r="A34" s="147" t="inlineStr">
        <is>
          <t xml:space="preserve">  * Debt schedule uses Python floats (val_core). Returns (MOIC/IRR) are solved by val_core's IRR function. Entry/structure rows above contain live Excel formulas — change Assumptions!B39-B44 to interactively re-rate the deal.</t>
        </is>
      </c>
    </row>
  </sheetData>
  <mergeCells count="7">
    <mergeCell ref="A19:C19"/>
    <mergeCell ref="A13:C13"/>
    <mergeCell ref="A1:L1"/>
    <mergeCell ref="A34:G34"/>
    <mergeCell ref="A26:G26"/>
    <mergeCell ref="A3:C3"/>
    <mergeCell ref="A4:C4"/>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15.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32" customWidth="1" min="1" max="1"/>
    <col width="18" customWidth="1" min="2" max="2"/>
    <col width="18" customWidth="1" min="3" max="3"/>
    <col width="18" customWidth="1" min="4" max="4"/>
    <col width="32" customWidth="1" min="5" max="5"/>
  </cols>
  <sheetData>
    <row r="1" ht="32" customHeight="1">
      <c r="A1" s="21" t="inlineStr">
        <is>
          <t xml:space="preserve">   — Quality of Earnings    |    Accruals analysis, cash conversion, FCF quality</t>
        </is>
      </c>
    </row>
    <row r="2"/>
    <row r="3">
      <c r="A3" s="148" t="inlineStr">
        <is>
          <t xml:space="preserve">  QUALITY SCORE: 72 / 100 — N/A</t>
        </is>
      </c>
    </row>
    <row r="4"/>
    <row r="5">
      <c r="A5" s="76" t="inlineStr">
        <is>
          <t>EARNINGS QUALITY METRICS</t>
        </is>
      </c>
    </row>
    <row r="6">
      <c r="A6" s="23" t="inlineStr">
        <is>
          <t>Metric</t>
        </is>
      </c>
      <c r="B6" s="23" t="inlineStr">
        <is>
          <t>Value</t>
        </is>
      </c>
      <c r="C6" s="23" t="inlineStr">
        <is>
          <t>Benchmark</t>
        </is>
      </c>
      <c r="D6" s="23" t="inlineStr">
        <is>
          <t>Assessment</t>
        </is>
      </c>
      <c r="E6" s="23" t="inlineStr">
        <is>
          <t>Detail</t>
        </is>
      </c>
    </row>
    <row r="7">
      <c r="A7" s="55" t="inlineStr">
        <is>
          <t>Accruals Ratio</t>
        </is>
      </c>
      <c r="B7" s="73" t="n">
        <v>0.0633</v>
      </c>
      <c r="C7" s="57" t="inlineStr">
        <is>
          <t>&lt; 5%</t>
        </is>
      </c>
      <c r="D7" s="149" t="inlineStr">
        <is>
          <t>N/A</t>
        </is>
      </c>
      <c r="E7" s="55" t="inlineStr">
        <is>
          <t>(Net Income - CFO) / Avg Assets</t>
        </is>
      </c>
    </row>
    <row r="8">
      <c r="A8" s="58" t="inlineStr">
        <is>
          <t>Cash Conversion (CFO/NI)</t>
        </is>
      </c>
      <c r="B8" s="59" t="n">
        <v>1.17</v>
      </c>
      <c r="C8" s="59" t="inlineStr">
        <is>
          <t>&gt; 100%</t>
        </is>
      </c>
      <c r="D8" s="150" t="inlineStr">
        <is>
          <t>N/A</t>
        </is>
      </c>
      <c r="E8" s="58" t="inlineStr">
        <is>
          <t>Cash flow from ops vs. net income</t>
        </is>
      </c>
    </row>
    <row r="9">
      <c r="A9" s="55" t="inlineStr">
        <is>
          <t>FCF Quality (FCF/NI)</t>
        </is>
      </c>
      <c r="B9" s="73" t="n">
        <v>0</v>
      </c>
      <c r="C9" s="57" t="inlineStr">
        <is>
          <t>&gt; 80%</t>
        </is>
      </c>
      <c r="D9" s="149" t="inlineStr">
        <is>
          <t>N/A</t>
        </is>
      </c>
      <c r="E9" s="55" t="inlineStr">
        <is>
          <t>Free cash flow vs. net income</t>
        </is>
      </c>
    </row>
    <row r="10">
      <c r="A10" s="58" t="inlineStr">
        <is>
          <t>Revenue Recognition Risk</t>
        </is>
      </c>
      <c r="B10" s="59" t="inlineStr">
        <is>
          <t>Low</t>
        </is>
      </c>
      <c r="C10" s="59" t="inlineStr">
        <is>
          <t>Low</t>
        </is>
      </c>
      <c r="D10" s="150" t="inlineStr">
        <is>
          <t>N/A</t>
        </is>
      </c>
      <c r="E10" s="58" t="inlineStr">
        <is>
          <t>Contract/SaaS vs point-in-time</t>
        </is>
      </c>
    </row>
    <row r="11">
      <c r="A11" s="55" t="inlineStr">
        <is>
          <t>One-Time Items</t>
        </is>
      </c>
      <c r="B11" s="73" t="n">
        <v>0</v>
      </c>
      <c r="C11" s="57" t="inlineStr">
        <is>
          <t>&lt; 5%</t>
        </is>
      </c>
      <c r="D11" s="149" t="inlineStr"/>
      <c r="E11" s="55" t="inlineStr">
        <is>
          <t>% of pre-tax income</t>
        </is>
      </c>
    </row>
    <row r="12"/>
    <row r="13"/>
    <row r="14">
      <c r="A14" s="101" t="inlineStr">
        <is>
          <t>FLAGS &amp; RED FLAGS</t>
        </is>
      </c>
    </row>
    <row r="15">
      <c r="A15" s="151" t="inlineStr">
        <is>
          <t xml:space="preserve">  ⚑  No major quality concerns detected</t>
        </is>
      </c>
    </row>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5">
    <mergeCell ref="A14:F14"/>
    <mergeCell ref="A5:F5"/>
    <mergeCell ref="A1:L1"/>
    <mergeCell ref="A3:F3"/>
    <mergeCell ref="A15:F15"/>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16.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30" customWidth="1" min="1" max="1"/>
    <col width="18" customWidth="1" min="2" max="2"/>
    <col width="18" customWidth="1" min="3" max="3"/>
    <col width="20" customWidth="1" min="4" max="4"/>
    <col width="34" customWidth="1" min="5" max="5"/>
  </cols>
  <sheetData>
    <row r="1" ht="32" customHeight="1">
      <c r="A1" s="21" t="inlineStr">
        <is>
          <t xml:space="preserve">   — Unit Economics    |    LTV/CAC, Payback, NRR, Magic Number, Rule of 40</t>
        </is>
      </c>
    </row>
    <row r="2"/>
    <row r="3">
      <c r="A3" s="76" t="inlineStr">
        <is>
          <t>SaaS / UNIT METRICS</t>
        </is>
      </c>
    </row>
    <row r="4">
      <c r="A4" s="23" t="inlineStr">
        <is>
          <t>Metric</t>
        </is>
      </c>
      <c r="B4" s="23" t="inlineStr">
        <is>
          <t>Value</t>
        </is>
      </c>
      <c r="C4" s="23" t="inlineStr">
        <is>
          <t>Benchmark</t>
        </is>
      </c>
      <c r="D4" s="23" t="inlineStr">
        <is>
          <t>Assessment</t>
        </is>
      </c>
      <c r="E4" s="23" t="inlineStr">
        <is>
          <t>Note</t>
        </is>
      </c>
    </row>
    <row r="5">
      <c r="A5" s="55" t="inlineStr">
        <is>
          <t>LTV / CAC Ratio</t>
        </is>
      </c>
      <c r="B5" s="74" t="n">
        <v>11.2</v>
      </c>
      <c r="C5" s="57" t="inlineStr">
        <is>
          <t>&gt; 3.0x</t>
        </is>
      </c>
      <c r="D5" s="149" t="inlineStr"/>
      <c r="E5" s="55" t="inlineStr">
        <is>
          <t>Revenue / cost to acquire 1 customer</t>
        </is>
      </c>
    </row>
    <row r="6">
      <c r="A6" s="58" t="inlineStr">
        <is>
          <t>CAC Payback (months)</t>
        </is>
      </c>
      <c r="B6" s="81" t="n">
        <v>0</v>
      </c>
      <c r="C6" s="59" t="inlineStr">
        <is>
          <t>&lt; 18 months</t>
        </is>
      </c>
      <c r="D6" s="150" t="inlineStr"/>
      <c r="E6" s="58" t="inlineStr">
        <is>
          <t>Time to recover acquisition cost</t>
        </is>
      </c>
    </row>
    <row r="7">
      <c r="A7" s="55" t="inlineStr">
        <is>
          <t>Customer LTV ($K)</t>
        </is>
      </c>
      <c r="B7" s="74" t="n">
        <v>14</v>
      </c>
      <c r="C7" s="57" t="inlineStr">
        <is>
          <t>N/A</t>
        </is>
      </c>
      <c r="D7" s="149" t="inlineStr"/>
      <c r="E7" s="55" t="inlineStr">
        <is>
          <t>PV of lifetime revenue per customer</t>
        </is>
      </c>
    </row>
    <row r="8">
      <c r="A8" s="58" t="inlineStr">
        <is>
          <t>CAC ($K)</t>
        </is>
      </c>
      <c r="B8" s="81" t="n">
        <v>1.25</v>
      </c>
      <c r="C8" s="59" t="inlineStr">
        <is>
          <t>N/A</t>
        </is>
      </c>
      <c r="D8" s="150" t="inlineStr"/>
      <c r="E8" s="58" t="inlineStr">
        <is>
          <t>Cost to acquire one customer</t>
        </is>
      </c>
    </row>
    <row r="9">
      <c r="A9" s="55" t="inlineStr">
        <is>
          <t>NRR / Net Revenue Retention</t>
        </is>
      </c>
      <c r="B9" s="73" t="n">
        <v>1.055</v>
      </c>
      <c r="C9" s="57" t="inlineStr">
        <is>
          <t>&gt; 120%</t>
        </is>
      </c>
      <c r="D9" s="149" t="inlineStr"/>
      <c r="E9" s="55" t="inlineStr">
        <is>
          <t>Expansion minus churn in existing base</t>
        </is>
      </c>
    </row>
    <row r="10">
      <c r="A10" s="58" t="inlineStr">
        <is>
          <t>Magic Number</t>
        </is>
      </c>
      <c r="B10" s="81" t="n">
        <v>0.5600000000000001</v>
      </c>
      <c r="C10" s="59" t="inlineStr">
        <is>
          <t>&gt; 0.75</t>
        </is>
      </c>
      <c r="D10" s="150" t="inlineStr"/>
      <c r="E10" s="58" t="inlineStr">
        <is>
          <t>Sales efficiency: Δ ARR / S&amp;M spend</t>
        </is>
      </c>
    </row>
    <row r="11"/>
    <row r="12"/>
    <row r="13">
      <c r="A13" s="63" t="inlineStr">
        <is>
          <t>RULE OF 40 &amp; EFFICIENCY BENCHMARKS</t>
        </is>
      </c>
    </row>
    <row r="14">
      <c r="A14" s="23" t="inlineStr">
        <is>
          <t>Metric</t>
        </is>
      </c>
      <c r="B14" s="23" t="inlineStr">
        <is>
          <t>Value</t>
        </is>
      </c>
      <c r="C14" s="23" t="inlineStr">
        <is>
          <t>Threshold</t>
        </is>
      </c>
      <c r="D14" s="23" t="inlineStr">
        <is>
          <t>Rating</t>
        </is>
      </c>
      <c r="E14" s="23" t="inlineStr">
        <is>
          <t>Commentary</t>
        </is>
      </c>
    </row>
    <row r="15">
      <c r="A15" s="55" t="inlineStr">
        <is>
          <t>Revenue Growth (Y1)</t>
        </is>
      </c>
      <c r="B15" s="57" t="inlineStr">
        <is>
          <t>7.5%</t>
        </is>
      </c>
      <c r="C15" s="57" t="inlineStr">
        <is>
          <t>&gt; 20%</t>
        </is>
      </c>
      <c r="D15" s="55" t="inlineStr">
        <is>
          <t>GOOD</t>
        </is>
      </c>
      <c r="E15" s="55" t="inlineStr">
        <is>
          <t>Annualized growth rate</t>
        </is>
      </c>
    </row>
    <row r="16">
      <c r="A16" s="58" t="inlineStr">
        <is>
          <t>FCF Margin</t>
        </is>
      </c>
      <c r="B16" s="57" t="inlineStr">
        <is>
          <t>25.1%</t>
        </is>
      </c>
      <c r="C16" s="59" t="inlineStr">
        <is>
          <t>&gt; 15%</t>
        </is>
      </c>
      <c r="D16" s="58" t="inlineStr">
        <is>
          <t>—</t>
        </is>
      </c>
      <c r="E16" s="58" t="inlineStr">
        <is>
          <t>Free cash flow / revenue</t>
        </is>
      </c>
    </row>
    <row r="17">
      <c r="A17" s="152" t="inlineStr">
        <is>
          <t>Rule of 40 Score</t>
        </is>
      </c>
      <c r="B17" s="153" t="inlineStr">
        <is>
          <t>32.6</t>
        </is>
      </c>
      <c r="C17" s="153" t="inlineStr">
        <is>
          <t>&gt; 40</t>
        </is>
      </c>
      <c r="D17" s="152" t="inlineStr">
        <is>
          <t>—</t>
        </is>
      </c>
      <c r="E17" s="152" t="inlineStr">
        <is>
          <t>Growth % + FCF margin %</t>
        </is>
      </c>
    </row>
    <row r="18">
      <c r="A18" s="58" t="inlineStr">
        <is>
          <t>Revenue / Employee ($K)</t>
        </is>
      </c>
      <c r="B18" s="57" t="inlineStr">
        <is>
          <t>$200</t>
        </is>
      </c>
      <c r="C18" s="59" t="inlineStr">
        <is>
          <t>$250K+ SaaS</t>
        </is>
      </c>
      <c r="D18" s="58" t="inlineStr">
        <is>
          <t>—</t>
        </is>
      </c>
      <c r="E18" s="58" t="inlineStr">
        <is>
          <t>Productivity benchmark</t>
        </is>
      </c>
    </row>
    <row r="19">
      <c r="A19" s="55" t="inlineStr">
        <is>
          <t>GP / Employee ($K)</t>
        </is>
      </c>
      <c r="B19" s="57" t="inlineStr">
        <is>
          <t>$90</t>
        </is>
      </c>
      <c r="C19" s="57" t="inlineStr">
        <is>
          <t>$180K+ SaaS</t>
        </is>
      </c>
      <c r="D19" s="55" t="inlineStr">
        <is>
          <t>—</t>
        </is>
      </c>
      <c r="E19" s="55" t="inlineStr">
        <is>
          <t>Margin-adjusted productivity</t>
        </is>
      </c>
    </row>
    <row r="20">
      <c r="A20" s="58" t="inlineStr">
        <is>
          <t>EBITDA / Employee ($K)</t>
        </is>
      </c>
      <c r="B20" s="57" t="inlineStr">
        <is>
          <t>$69</t>
        </is>
      </c>
      <c r="C20" s="59" t="inlineStr">
        <is>
          <t>&gt; $50K</t>
        </is>
      </c>
      <c r="D20" s="58" t="inlineStr">
        <is>
          <t>—</t>
        </is>
      </c>
      <c r="E20" s="58" t="inlineStr">
        <is>
          <t>Operating leverage per head</t>
        </is>
      </c>
    </row>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F3"/>
    <mergeCell ref="A13:F13"/>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17.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30" customWidth="1" min="1" max="1"/>
    <col width="16" customWidth="1" min="2" max="2"/>
    <col width="14" customWidth="1" min="3" max="3"/>
    <col width="16" customWidth="1" min="4" max="4"/>
    <col width="20" customWidth="1" min="5" max="5"/>
    <col width="26" customWidth="1" min="6" max="6"/>
  </cols>
  <sheetData>
    <row r="1" ht="32" customHeight="1">
      <c r="A1" s="21" t="inlineStr">
        <is>
          <t xml:space="preserve">   — Capital Allocation &amp; TAM    |    CapEx efficiency, ROIC, reinvestment, market opportunity</t>
        </is>
      </c>
    </row>
    <row r="2"/>
    <row r="3">
      <c r="A3" s="148" t="inlineStr">
        <is>
          <t xml:space="preserve">  CAPITAL ALLOCATION SCORE: 70 / 100</t>
        </is>
      </c>
    </row>
    <row r="4"/>
    <row r="5">
      <c r="A5" s="76" t="inlineStr">
        <is>
          <t>CAPITAL EFFICIENCY METRICS</t>
        </is>
      </c>
    </row>
    <row r="6">
      <c r="A6" s="23" t="inlineStr">
        <is>
          <t>Metric</t>
        </is>
      </c>
      <c r="B6" s="23" t="inlineStr">
        <is>
          <t>Value</t>
        </is>
      </c>
      <c r="C6" s="23" t="inlineStr">
        <is>
          <t>Benchmark</t>
        </is>
      </c>
      <c r="D6" s="23" t="inlineStr">
        <is>
          <t>Assessment</t>
        </is>
      </c>
      <c r="E6" s="23" t="inlineStr">
        <is>
          <t>Note</t>
        </is>
      </c>
    </row>
    <row r="7">
      <c r="A7" s="55" t="inlineStr">
        <is>
          <t>ROIC</t>
        </is>
      </c>
      <c r="B7" s="73" t="n">
        <v>0.0294</v>
      </c>
      <c r="C7" s="57" t="inlineStr">
        <is>
          <t>&gt; 15%</t>
        </is>
      </c>
      <c r="D7" s="149" t="inlineStr">
        <is>
          <t>—</t>
        </is>
      </c>
      <c r="E7" s="55" t="inlineStr">
        <is>
          <t>Return on invested capital</t>
        </is>
      </c>
    </row>
    <row r="8">
      <c r="A8" s="58" t="inlineStr">
        <is>
          <t>WACC</t>
        </is>
      </c>
      <c r="B8" s="92" t="n">
        <v>0.1</v>
      </c>
      <c r="C8" s="59" t="inlineStr">
        <is>
          <t>~10%</t>
        </is>
      </c>
      <c r="D8" s="150" t="inlineStr">
        <is>
          <t>—</t>
        </is>
      </c>
      <c r="E8" s="58" t="inlineStr">
        <is>
          <t>Weighted avg. cost of capital</t>
        </is>
      </c>
    </row>
    <row r="9">
      <c r="A9" s="55" t="inlineStr">
        <is>
          <t>ROIC vs WACC Spread</t>
        </is>
      </c>
      <c r="B9" s="73" t="n">
        <v>0</v>
      </c>
      <c r="C9" s="57" t="inlineStr">
        <is>
          <t>&gt; 0%</t>
        </is>
      </c>
      <c r="D9" s="149" t="inlineStr">
        <is>
          <t>—</t>
        </is>
      </c>
      <c r="E9" s="55" t="inlineStr">
        <is>
          <t>Value creation if positive</t>
        </is>
      </c>
    </row>
    <row r="10">
      <c r="A10" s="58" t="inlineStr">
        <is>
          <t>CapEx Intensity</t>
        </is>
      </c>
      <c r="B10" s="92" t="n">
        <v>0.024</v>
      </c>
      <c r="C10" s="59" t="inlineStr">
        <is>
          <t>&lt; 10% rev</t>
        </is>
      </c>
      <c r="D10" s="154" t="inlineStr">
        <is>
          <t>✓</t>
        </is>
      </c>
      <c r="E10" s="58" t="inlineStr">
        <is>
          <t>CapEx as % of revenue</t>
        </is>
      </c>
    </row>
    <row r="11">
      <c r="A11" s="55" t="inlineStr">
        <is>
          <t>Reinvestment Rate</t>
        </is>
      </c>
      <c r="B11" s="73" t="n">
        <v>-0.082</v>
      </c>
      <c r="C11" s="57" t="inlineStr">
        <is>
          <t>40-60%</t>
        </is>
      </c>
      <c r="D11" s="149" t="inlineStr">
        <is>
          <t>—</t>
        </is>
      </c>
      <c r="E11" s="55" t="inlineStr">
        <is>
          <t>% NOPAT reinvested in business</t>
        </is>
      </c>
    </row>
    <row r="12">
      <c r="A12" s="58" t="inlineStr">
        <is>
          <t>FCF Conversion</t>
        </is>
      </c>
      <c r="B12" s="92" t="n">
        <v>0</v>
      </c>
      <c r="C12" s="59" t="inlineStr">
        <is>
          <t>&gt; 80%</t>
        </is>
      </c>
      <c r="D12" s="150" t="inlineStr">
        <is>
          <t>—</t>
        </is>
      </c>
      <c r="E12" s="58" t="inlineStr">
        <is>
          <t>FCF / Net Income</t>
        </is>
      </c>
    </row>
    <row r="13">
      <c r="A13" s="55" t="inlineStr">
        <is>
          <t>Debt / EBITDA</t>
        </is>
      </c>
      <c r="B13" s="90" t="n">
        <v>0.49</v>
      </c>
      <c r="C13" s="57" t="inlineStr">
        <is>
          <t>&lt; 3x</t>
        </is>
      </c>
      <c r="D13" s="155" t="inlineStr">
        <is>
          <t>✓</t>
        </is>
      </c>
      <c r="E13" s="55" t="inlineStr">
        <is>
          <t>Financial leverage ratio</t>
        </is>
      </c>
    </row>
    <row r="14">
      <c r="A14" s="58" t="inlineStr">
        <is>
          <t>Interest Coverage</t>
        </is>
      </c>
      <c r="B14" s="91" t="n">
        <v>0</v>
      </c>
      <c r="C14" s="59" t="inlineStr">
        <is>
          <t>&gt; 3x</t>
        </is>
      </c>
      <c r="D14" s="150" t="inlineStr">
        <is>
          <t>—</t>
        </is>
      </c>
      <c r="E14" s="58" t="inlineStr">
        <is>
          <t>EBIT / Interest expense</t>
        </is>
      </c>
    </row>
    <row r="15"/>
    <row r="16"/>
    <row r="17">
      <c r="A17" s="63" t="inlineStr">
        <is>
          <t>MARKET OPPORTUNITY (TAM / SAM / SOM)</t>
        </is>
      </c>
    </row>
    <row r="18">
      <c r="A18" s="23" t="inlineStr">
        <is>
          <t>Market Tier</t>
        </is>
      </c>
      <c r="B18" s="23" t="inlineStr">
        <is>
          <t>Size ($B)</t>
        </is>
      </c>
      <c r="C18" s="23" t="inlineStr">
        <is>
          <t>Growth Rate</t>
        </is>
      </c>
      <c r="D18" s="23" t="inlineStr">
        <is>
          <t>Company Share</t>
        </is>
      </c>
      <c r="E18" s="23" t="inlineStr">
        <is>
          <t>Revenue Opp. ($B)</t>
        </is>
      </c>
      <c r="F18" s="23" t="inlineStr">
        <is>
          <t>Assumption Basis</t>
        </is>
      </c>
    </row>
    <row r="19">
      <c r="A19" s="55" t="inlineStr">
        <is>
          <t>Total Addressable Market (TAM)</t>
        </is>
      </c>
      <c r="B19" s="156" t="n">
        <v>3000</v>
      </c>
      <c r="C19" s="73" t="n">
        <v>0.12</v>
      </c>
      <c r="D19" s="157" t="n">
        <v>0.130345</v>
      </c>
      <c r="E19" s="156" t="n">
        <v>391.0349999999999</v>
      </c>
      <c r="F19" s="55" t="inlineStr">
        <is>
          <t>Full market if 100% penetration</t>
        </is>
      </c>
    </row>
    <row r="20">
      <c r="A20" s="55" t="inlineStr">
        <is>
          <t>Serviceable Addressable Market (SAM)</t>
        </is>
      </c>
      <c r="B20" s="156" t="n">
        <v>450</v>
      </c>
      <c r="C20" s="73" t="n">
        <v>0.18</v>
      </c>
      <c r="D20" s="157" t="n">
        <v>0.8689666666666667</v>
      </c>
      <c r="E20" s="156" t="n">
        <v>391.035</v>
      </c>
      <c r="F20" s="55" t="inlineStr">
        <is>
          <t>Target segments / serviceable market</t>
        </is>
      </c>
    </row>
    <row r="21">
      <c r="A21" s="55" t="inlineStr">
        <is>
          <t>Serviceable Obtainable Market (SOM)</t>
        </is>
      </c>
      <c r="B21" s="156" t="n">
        <v>45</v>
      </c>
      <c r="C21" s="73" t="n">
        <v>0.25</v>
      </c>
      <c r="D21" s="157" t="n">
        <v>1</v>
      </c>
      <c r="E21" s="156" t="n">
        <v>391.0350000000001</v>
      </c>
      <c r="F21" s="55" t="inlineStr">
        <is>
          <t>Realistically capturable share</t>
        </is>
      </c>
    </row>
    <row r="22"/>
    <row r="23"/>
    <row r="24"/>
    <row r="25"/>
    <row r="26"/>
    <row r="27"/>
    <row r="28"/>
    <row r="29"/>
    <row r="30"/>
    <row r="31"/>
    <row r="32"/>
    <row r="33"/>
    <row r="34"/>
    <row r="35"/>
    <row r="36"/>
    <row r="37"/>
    <row r="38"/>
    <row r="39"/>
    <row r="40"/>
    <row r="41"/>
    <row r="42"/>
    <row r="43"/>
    <row r="44"/>
    <row r="45"/>
    <row r="46"/>
    <row r="47"/>
    <row r="48"/>
    <row r="49"/>
    <row r="50"/>
  </sheetData>
  <mergeCells count="4">
    <mergeCell ref="A3:F3"/>
    <mergeCell ref="A5:F5"/>
    <mergeCell ref="A1:L1"/>
    <mergeCell ref="A17:F17"/>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18.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28" customWidth="1" min="1" max="1"/>
    <col width="18" customWidth="1" min="2" max="2"/>
    <col width="62" customWidth="1" min="3" max="3"/>
    <col width="16" customWidth="1" min="4" max="4"/>
    <col width="36" customWidth="1" min="5" max="5"/>
  </cols>
  <sheetData>
    <row r="1" ht="32" customHeight="1">
      <c r="A1" s="21" t="inlineStr">
        <is>
          <t xml:space="preserve">   — Deep Financial Analysis    |    DuPont, Altman Z, ROIC, Working Capital, Operating Leverage</t>
        </is>
      </c>
    </row>
    <row r="2"/>
    <row r="3">
      <c r="A3" s="76" t="inlineStr">
        <is>
          <t>DUPONT DECOMPOSITION</t>
        </is>
      </c>
    </row>
    <row r="4">
      <c r="A4" s="23" t="inlineStr">
        <is>
          <t>Component</t>
        </is>
      </c>
      <c r="B4" s="23" t="inlineStr">
        <is>
          <t>Value</t>
        </is>
      </c>
      <c r="C4" s="23" t="inlineStr">
        <is>
          <t>Formula</t>
        </is>
      </c>
      <c r="D4" s="23" t="inlineStr">
        <is>
          <t>Interpretation</t>
        </is>
      </c>
    </row>
    <row r="5">
      <c r="A5" s="78" t="inlineStr">
        <is>
          <t>Net Profit Margin</t>
        </is>
      </c>
      <c r="B5" s="73" t="n">
        <v>0.2397125576994387</v>
      </c>
      <c r="C5" s="112" t="inlineStr">
        <is>
          <t>Net Income / Revenue</t>
        </is>
      </c>
      <c r="D5" s="78" t="inlineStr">
        <is>
          <t>Profitability per $1 of sales</t>
        </is>
      </c>
    </row>
    <row r="6">
      <c r="A6" s="80" t="inlineStr">
        <is>
          <t>Asset Turnover</t>
        </is>
      </c>
      <c r="B6" s="92" t="n">
        <v>0.1911867380105843</v>
      </c>
      <c r="C6" s="114" t="inlineStr">
        <is>
          <t>Revenue / Total Assets</t>
        </is>
      </c>
      <c r="D6" s="80" t="inlineStr">
        <is>
          <t>Asset utilisation efficiency</t>
        </is>
      </c>
    </row>
    <row r="7">
      <c r="A7" s="78" t="inlineStr">
        <is>
          <t>Equity Multiplier</t>
        </is>
      </c>
      <c r="B7" s="73" t="n">
        <v>1.052111111111111</v>
      </c>
      <c r="C7" s="112" t="inlineStr">
        <is>
          <t>Total Assets / Equity</t>
        </is>
      </c>
      <c r="D7" s="78" t="inlineStr">
        <is>
          <t>Financial leverage factor</t>
        </is>
      </c>
    </row>
    <row r="8">
      <c r="A8" s="79" t="inlineStr">
        <is>
          <t>ROE (DuPont)</t>
        </is>
      </c>
      <c r="B8" s="158" t="n">
        <v>0.04821810699588478</v>
      </c>
      <c r="C8" s="114" t="inlineStr">
        <is>
          <t>Margin × Turnover × Multiplier</t>
        </is>
      </c>
      <c r="D8" s="80" t="inlineStr">
        <is>
          <t>Return on shareholders equity</t>
        </is>
      </c>
    </row>
    <row r="9">
      <c r="A9" s="77" t="inlineStr">
        <is>
          <t>ROIC</t>
        </is>
      </c>
      <c r="B9" s="159" t="n">
        <v>0</v>
      </c>
      <c r="C9" s="112" t="inlineStr">
        <is>
          <t>NOPAT / Invested Capital</t>
        </is>
      </c>
      <c r="D9" s="78" t="inlineStr">
        <is>
          <t>Capital efficiency benchmark</t>
        </is>
      </c>
    </row>
    <row r="10"/>
    <row r="11"/>
    <row r="12">
      <c r="A12" s="63" t="inlineStr">
        <is>
          <t>ALTMAN Z-SCORE (BANKRUPTCY RISK)</t>
        </is>
      </c>
    </row>
    <row r="13">
      <c r="A13" s="23" t="inlineStr">
        <is>
          <t>Component</t>
        </is>
      </c>
      <c r="B13" s="23" t="inlineStr">
        <is>
          <t>Value</t>
        </is>
      </c>
      <c r="C13" s="23" t="inlineStr">
        <is>
          <t>Coefficient</t>
        </is>
      </c>
      <c r="D13" s="23" t="inlineStr">
        <is>
          <t>Weighted</t>
        </is>
      </c>
      <c r="E13" s="23" t="inlineStr">
        <is>
          <t>Description</t>
        </is>
      </c>
    </row>
    <row r="14">
      <c r="A14" s="55" t="inlineStr">
        <is>
          <t>X1 – Working Capital / Assets</t>
        </is>
      </c>
      <c r="B14" s="160" t="n">
        <v>0</v>
      </c>
      <c r="C14" s="161" t="n">
        <v>1.2</v>
      </c>
      <c r="D14" s="160" t="n">
        <v>0</v>
      </c>
      <c r="E14" s="55" t="inlineStr">
        <is>
          <t>Liquidity</t>
        </is>
      </c>
    </row>
    <row r="15">
      <c r="A15" s="58" t="inlineStr">
        <is>
          <t>X2 – Retained Earnings / Assets</t>
        </is>
      </c>
      <c r="B15" s="162" t="n">
        <v>0</v>
      </c>
      <c r="C15" s="163" t="n">
        <v>1.4</v>
      </c>
      <c r="D15" s="162" t="n">
        <v>0</v>
      </c>
      <c r="E15" s="58" t="inlineStr">
        <is>
          <t>Profitability</t>
        </is>
      </c>
    </row>
    <row r="16">
      <c r="A16" s="55" t="inlineStr">
        <is>
          <t>X3 – EBIT / Total Assets</t>
        </is>
      </c>
      <c r="B16" s="160" t="n">
        <v>0</v>
      </c>
      <c r="C16" s="161" t="n">
        <v>3.3</v>
      </c>
      <c r="D16" s="160" t="n">
        <v>0</v>
      </c>
      <c r="E16" s="55" t="inlineStr">
        <is>
          <t>Operating efficiency</t>
        </is>
      </c>
    </row>
    <row r="17">
      <c r="A17" s="58" t="inlineStr">
        <is>
          <t>X4 – Market Cap / Total Liabilities</t>
        </is>
      </c>
      <c r="B17" s="162" t="n">
        <v>0</v>
      </c>
      <c r="C17" s="163" t="n">
        <v>0.6</v>
      </c>
      <c r="D17" s="162" t="n">
        <v>0</v>
      </c>
      <c r="E17" s="58" t="inlineStr">
        <is>
          <t>Leverage</t>
        </is>
      </c>
    </row>
    <row r="18">
      <c r="A18" s="55" t="inlineStr">
        <is>
          <t>X5 – Revenue / Total Assets</t>
        </is>
      </c>
      <c r="B18" s="160" t="n">
        <v>0</v>
      </c>
      <c r="C18" s="161" t="n">
        <v>1</v>
      </c>
      <c r="D18" s="160" t="n">
        <v>0</v>
      </c>
      <c r="E18" s="55" t="inlineStr">
        <is>
          <t>Asset turnover</t>
        </is>
      </c>
    </row>
    <row r="19">
      <c r="A19" s="88" t="inlineStr">
        <is>
          <t>Z-SCORE TOTAL</t>
        </is>
      </c>
      <c r="D19" s="164" t="n">
        <v>19.76</v>
      </c>
      <c r="E19" s="165" t="inlineStr">
        <is>
          <t>SAFE ZONE</t>
        </is>
      </c>
    </row>
    <row r="20"/>
    <row r="21">
      <c r="A21" s="63" t="inlineStr">
        <is>
          <t>OPERATING LEVERAGE</t>
        </is>
      </c>
    </row>
    <row r="22">
      <c r="A22" s="23" t="inlineStr">
        <is>
          <t>Metric</t>
        </is>
      </c>
      <c r="B22" s="23" t="inlineStr">
        <is>
          <t>Value</t>
        </is>
      </c>
      <c r="C22" s="23" t="inlineStr">
        <is>
          <t>Interpretation</t>
        </is>
      </c>
    </row>
    <row r="23">
      <c r="A23" s="78" t="inlineStr">
        <is>
          <t>Degree of Operating Leverage (DOL)</t>
        </is>
      </c>
      <c r="B23" s="166" t="n">
        <v>2.09</v>
      </c>
      <c r="C23" s="112" t="inlineStr">
        <is>
          <t>% Change in EBIT / % Change in Revenue</t>
        </is>
      </c>
    </row>
    <row r="24">
      <c r="A24" s="80" t="inlineStr">
        <is>
          <t>Break-Even Revenue ($M)</t>
        </is>
      </c>
      <c r="B24" s="167" t="n">
        <v>203648.807032</v>
      </c>
      <c r="C24" s="114" t="inlineStr">
        <is>
          <t>Fixed costs / Contribution margin</t>
        </is>
      </c>
    </row>
    <row r="25">
      <c r="A25" s="78" t="inlineStr">
        <is>
          <t>Safety Margin</t>
        </is>
      </c>
      <c r="B25" s="159" t="n">
        <v>0.479</v>
      </c>
      <c r="C25" s="112" t="inlineStr">
        <is>
          <t>(Revenue - BE Revenue) / Revenue — buffer before losses</t>
        </is>
      </c>
    </row>
    <row r="26">
      <c r="A26" s="80" t="inlineStr">
        <is>
          <t>EBIT Sensitivity (1% rev change)</t>
        </is>
      </c>
      <c r="B26" s="168" t="inlineStr">
        <is>
          <t>20.9% EBIT change per 10% rev growth</t>
        </is>
      </c>
      <c r="C26" s="114" t="inlineStr">
        <is>
          <t>$ impact on EBIT per 1% revenue swing</t>
        </is>
      </c>
    </row>
    <row r="27"/>
    <row r="28"/>
    <row r="29"/>
    <row r="30"/>
    <row r="31"/>
    <row r="32"/>
    <row r="33"/>
    <row r="34"/>
    <row r="35"/>
    <row r="36"/>
    <row r="37"/>
    <row r="38"/>
    <row r="39"/>
    <row r="40"/>
    <row r="41"/>
    <row r="42"/>
    <row r="43"/>
    <row r="44"/>
    <row r="45"/>
    <row r="46"/>
    <row r="47"/>
    <row r="48"/>
    <row r="49"/>
    <row r="50"/>
  </sheetData>
  <mergeCells count="4">
    <mergeCell ref="A3:F3"/>
    <mergeCell ref="A21:F21"/>
    <mergeCell ref="A1:L1"/>
    <mergeCell ref="A12:F12"/>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tableParts count="1">
    <tablePart xmlns:r="http://schemas.openxmlformats.org/officeDocument/2006/relationships" r:id="rId1"/>
  </tableParts>
</worksheet>
</file>

<file path=xl/worksheets/sheet19.xml><?xml version="1.0" encoding="utf-8"?>
<worksheet xmlns="http://schemas.openxmlformats.org/spreadsheetml/2006/main">
  <sheetPr>
    <tabColor rgb="000071E3"/>
    <outlinePr summaryBelow="1" summaryRight="1"/>
    <pageSetUpPr fitToPage="1"/>
  </sheetPr>
  <dimension ref="A1:L26"/>
  <sheetViews>
    <sheetView showGridLines="0" workbookViewId="0">
      <pane ySplit="2" topLeftCell="A3" activePane="bottomLeft" state="frozen"/>
      <selection pane="bottomLeft" activeCell="A1" sqref="A1"/>
    </sheetView>
  </sheetViews>
  <sheetFormatPr baseColWidth="8" defaultRowHeight="15"/>
  <cols>
    <col width="30" customWidth="1" min="1" max="1"/>
    <col width="18" customWidth="1" min="2" max="2"/>
    <col width="22" customWidth="1" min="3" max="3"/>
    <col width="20" customWidth="1" min="4" max="4"/>
    <col width="28" customWidth="1" min="5" max="5"/>
  </cols>
  <sheetData>
    <row r="1" ht="32" customHeight="1">
      <c r="A1" s="21" t="inlineStr">
        <is>
          <t xml:space="preserve">   — P&amp;L Margin Bridge    |    Revenue to Net Income waterfall with margin analysis</t>
        </is>
      </c>
    </row>
    <row r="2"/>
    <row r="3">
      <c r="A3" s="76" t="inlineStr">
        <is>
          <t>P&amp;L WATERFALL — REVENUE TO NET INCOME</t>
        </is>
      </c>
      <c r="H3" t="inlineStr">
        <is>
          <t>Metric</t>
        </is>
      </c>
      <c r="I3" t="inlineStr">
        <is>
          <t>Actual</t>
        </is>
      </c>
      <c r="J3" t="inlineStr">
        <is>
          <t>Benchmark</t>
        </is>
      </c>
    </row>
    <row r="4">
      <c r="A4" s="23" t="inlineStr">
        <is>
          <t>P&amp;L Line</t>
        </is>
      </c>
      <c r="B4" s="23" t="inlineStr">
        <is>
          <t>Amount ($M)</t>
        </is>
      </c>
      <c r="C4" s="23" t="inlineStr">
        <is>
          <t>Running Total ($M)</t>
        </is>
      </c>
      <c r="D4" s="23" t="inlineStr">
        <is>
          <t>Margin %</t>
        </is>
      </c>
      <c r="E4" s="23" t="inlineStr">
        <is>
          <t>Description</t>
        </is>
      </c>
      <c r="H4" t="inlineStr">
        <is>
          <t>Gross Margin</t>
        </is>
      </c>
      <c r="I4" t="n">
        <v>0.7</v>
      </c>
      <c r="J4" t="n">
        <v>0.6</v>
      </c>
    </row>
    <row r="5">
      <c r="A5" s="55" t="inlineStr">
        <is>
          <t>Revenue</t>
        </is>
      </c>
      <c r="B5" s="74" t="n">
        <v>391035</v>
      </c>
      <c r="C5" s="74" t="n">
        <v>391035</v>
      </c>
      <c r="D5" s="73" t="n">
        <v>1</v>
      </c>
      <c r="E5" s="55" t="inlineStr">
        <is>
          <t>Top-line net revenue</t>
        </is>
      </c>
      <c r="H5" t="inlineStr">
        <is>
          <t>EBITDA Margin</t>
        </is>
      </c>
      <c r="I5" t="n">
        <v>0.344</v>
      </c>
      <c r="J5" t="n">
        <v>0.25</v>
      </c>
    </row>
    <row r="6">
      <c r="A6" s="58" t="inlineStr">
        <is>
          <t>(-) COGS</t>
        </is>
      </c>
      <c r="B6" s="81" t="n">
        <v>-117310.5</v>
      </c>
      <c r="C6" s="81" t="n">
        <v>273724.5</v>
      </c>
      <c r="D6" s="92" t="n">
        <v>0.7</v>
      </c>
      <c r="E6" s="58" t="inlineStr">
        <is>
          <t>Cost of goods sold / cost of revenue</t>
        </is>
      </c>
      <c r="H6" t="inlineStr">
        <is>
          <t>EBIT Margin</t>
        </is>
      </c>
      <c r="I6" t="n">
        <v>0.315</v>
      </c>
      <c r="J6" t="n">
        <v>0.18</v>
      </c>
    </row>
    <row r="7">
      <c r="A7" s="86">
        <f> Gross Profit</f>
        <v/>
      </c>
      <c r="B7" s="169" t="n">
        <v>273724.5</v>
      </c>
      <c r="C7" s="170" t="n">
        <v>273724.5</v>
      </c>
      <c r="D7" s="171" t="n">
        <v>0.7</v>
      </c>
      <c r="E7" s="86" t="inlineStr">
        <is>
          <t>Revenue minus COGS</t>
        </is>
      </c>
      <c r="H7" t="inlineStr">
        <is>
          <t>Net Margin</t>
        </is>
      </c>
      <c r="I7" t="n">
        <v>0.24</v>
      </c>
      <c r="J7" t="n">
        <v>0.12</v>
      </c>
    </row>
    <row r="8">
      <c r="A8" s="58" t="inlineStr">
        <is>
          <t>(-) SG&amp;A</t>
        </is>
      </c>
      <c r="B8" s="81" t="n">
        <v>-76479.425</v>
      </c>
      <c r="C8" s="81" t="n">
        <v>197245.075</v>
      </c>
      <c r="D8" s="92" t="n">
        <v>0.504</v>
      </c>
      <c r="E8" s="58" t="inlineStr">
        <is>
          <t>Sales, general &amp; administrative expenses</t>
        </is>
      </c>
    </row>
    <row r="9">
      <c r="A9" s="55" t="inlineStr">
        <is>
          <t>(-) R&amp;D</t>
        </is>
      </c>
      <c r="B9" s="74" t="n">
        <v>-41716.05</v>
      </c>
      <c r="C9" s="74" t="n">
        <v>155529.025</v>
      </c>
      <c r="D9" s="73" t="n">
        <v>0.398</v>
      </c>
      <c r="E9" s="55" t="inlineStr">
        <is>
          <t>Research &amp; development investment</t>
        </is>
      </c>
    </row>
    <row r="10">
      <c r="A10" s="58" t="inlineStr">
        <is>
          <t>(-) Other OpEx</t>
        </is>
      </c>
      <c r="B10" s="81" t="n">
        <v>-20858.025</v>
      </c>
      <c r="C10" s="81" t="n">
        <v>134671</v>
      </c>
      <c r="D10" s="92" t="n">
        <v>0.344</v>
      </c>
      <c r="E10" s="58" t="inlineStr">
        <is>
          <t>Other operating expenditures</t>
        </is>
      </c>
    </row>
    <row r="11">
      <c r="A11" s="86">
        <f> EBITDA</f>
        <v/>
      </c>
      <c r="B11" s="169" t="n">
        <v>134671</v>
      </c>
      <c r="C11" s="172" t="n">
        <v>134671</v>
      </c>
      <c r="D11" s="126" t="n">
        <v>0.344</v>
      </c>
      <c r="E11" s="86" t="inlineStr">
        <is>
          <t>Earnings before interest, tax, D&amp;A</t>
        </is>
      </c>
    </row>
    <row r="12">
      <c r="A12" s="58" t="inlineStr">
        <is>
          <t>(-) D&amp;A</t>
        </is>
      </c>
      <c r="B12" s="81" t="n">
        <v>-19551.75</v>
      </c>
      <c r="C12" s="81" t="n">
        <v>123216</v>
      </c>
      <c r="D12" s="92" t="n">
        <v>0.315</v>
      </c>
      <c r="E12" s="58" t="inlineStr">
        <is>
          <t>Depreciation &amp; amortization</t>
        </is>
      </c>
    </row>
    <row r="13">
      <c r="A13" s="86">
        <f> EBIT</f>
        <v/>
      </c>
      <c r="B13" s="169" t="n">
        <v>123216</v>
      </c>
      <c r="C13" s="172" t="n">
        <v>123216</v>
      </c>
      <c r="D13" s="126" t="n">
        <v>0.315</v>
      </c>
      <c r="E13" s="86" t="inlineStr">
        <is>
          <t>Operating income / EBIT</t>
        </is>
      </c>
    </row>
    <row r="14">
      <c r="A14" s="58" t="inlineStr">
        <is>
          <t>(-) Interest</t>
        </is>
      </c>
      <c r="B14" s="81" t="n">
        <v>-5065.2</v>
      </c>
      <c r="C14" s="81" t="n">
        <v>118150.8</v>
      </c>
      <c r="D14" s="92" t="n">
        <v>0.302</v>
      </c>
      <c r="E14" s="58" t="inlineStr">
        <is>
          <t>Net interest expense on debt</t>
        </is>
      </c>
    </row>
    <row r="15">
      <c r="A15" s="55" t="inlineStr">
        <is>
          <t>(-) Tax</t>
        </is>
      </c>
      <c r="B15" s="74" t="n">
        <v>-24811.668</v>
      </c>
      <c r="C15" s="74" t="n">
        <v>93736</v>
      </c>
      <c r="D15" s="73" t="n">
        <v>0.24</v>
      </c>
      <c r="E15" s="55" t="inlineStr">
        <is>
          <t>Income tax at effective rate</t>
        </is>
      </c>
    </row>
    <row r="16">
      <c r="A16" s="86">
        <f> Net Income</f>
        <v/>
      </c>
      <c r="B16" s="169" t="n">
        <v>93736</v>
      </c>
      <c r="C16" s="173" t="n">
        <v>93736</v>
      </c>
      <c r="D16" s="174" t="n">
        <v>0.24</v>
      </c>
      <c r="E16" s="86" t="inlineStr">
        <is>
          <t>Bottom line attributable to equity holders</t>
        </is>
      </c>
    </row>
    <row r="19">
      <c r="A19" s="63" t="inlineStr">
        <is>
          <t>MARGIN SUMMARY</t>
        </is>
      </c>
    </row>
    <row r="20">
      <c r="A20" s="23" t="inlineStr">
        <is>
          <t>Metric</t>
        </is>
      </c>
      <c r="B20" s="23" t="inlineStr">
        <is>
          <t>Margin %</t>
        </is>
      </c>
      <c r="C20" s="23" t="inlineStr">
        <is>
          <t>Assessment</t>
        </is>
      </c>
      <c r="D20" s="23" t="inlineStr">
        <is>
          <t>Sector Benchmark</t>
        </is>
      </c>
      <c r="E20" s="23" t="inlineStr">
        <is>
          <t>Gap</t>
        </is>
      </c>
    </row>
    <row r="21">
      <c r="A21" s="55" t="inlineStr">
        <is>
          <t>Gross Margin</t>
        </is>
      </c>
      <c r="B21" s="73" t="n">
        <v>0.7</v>
      </c>
      <c r="C21" s="155" t="inlineStr">
        <is>
          <t>ABOVE BENCHMARK</t>
        </is>
      </c>
      <c r="D21" s="73" t="n">
        <v>0.6</v>
      </c>
      <c r="E21" s="175" t="n">
        <v>0.09999999999999998</v>
      </c>
    </row>
    <row r="22">
      <c r="A22" s="58" t="inlineStr">
        <is>
          <t>EBITDA Margin</t>
        </is>
      </c>
      <c r="B22" s="92" t="n">
        <v>0.344</v>
      </c>
      <c r="C22" s="154" t="inlineStr">
        <is>
          <t>ABOVE BENCHMARK</t>
        </is>
      </c>
      <c r="D22" s="92" t="n">
        <v>0.25</v>
      </c>
      <c r="E22" s="176" t="n">
        <v>0.09399999999999997</v>
      </c>
    </row>
    <row r="23">
      <c r="A23" s="55" t="inlineStr">
        <is>
          <t>EBIT Margin</t>
        </is>
      </c>
      <c r="B23" s="73" t="n">
        <v>0.315</v>
      </c>
      <c r="C23" s="155" t="inlineStr">
        <is>
          <t>ABOVE BENCHMARK</t>
        </is>
      </c>
      <c r="D23" s="73" t="n">
        <v>0.18</v>
      </c>
      <c r="E23" s="175" t="n">
        <v>0.135</v>
      </c>
    </row>
    <row r="24">
      <c r="A24" s="58" t="inlineStr">
        <is>
          <t>Net Margin</t>
        </is>
      </c>
      <c r="B24" s="92" t="n">
        <v>0.24</v>
      </c>
      <c r="C24" s="154" t="inlineStr">
        <is>
          <t>ABOVE BENCHMARK</t>
        </is>
      </c>
      <c r="D24" s="92" t="n">
        <v>0.12</v>
      </c>
      <c r="E24" s="176" t="n">
        <v>0.12</v>
      </c>
    </row>
    <row r="26">
      <c r="A26" s="133" t="inlineStr">
        <is>
          <t>⚠ Note: COGS/SG&amp;A/R&amp;D estimated from sector benchmarks -- verify with actual income statement</t>
        </is>
      </c>
    </row>
  </sheetData>
  <mergeCells count="3">
    <mergeCell ref="A3:F3"/>
    <mergeCell ref="A1:L1"/>
    <mergeCell ref="A19:E19"/>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worksheet>
</file>

<file path=xl/worksheets/sheet20.xml><?xml version="1.0" encoding="utf-8"?>
<worksheet xmlns="http://schemas.openxmlformats.org/spreadsheetml/2006/main">
  <sheetPr>
    <tabColor rgb="000071E3"/>
    <outlinePr summaryBelow="1" summaryRight="1"/>
    <pageSetUpPr fitToPage="1"/>
  </sheetPr>
  <dimension ref="A1:L23"/>
  <sheetViews>
    <sheetView showGridLines="0" workbookViewId="0">
      <pane ySplit="2" topLeftCell="A3" activePane="bottomLeft" state="frozen"/>
      <selection pane="bottomLeft" activeCell="A1" sqref="A1"/>
    </sheetView>
  </sheetViews>
  <sheetFormatPr baseColWidth="8" defaultRowHeight="15"/>
  <cols>
    <col width="30" customWidth="1" min="1" max="1"/>
    <col width="20" customWidth="1" min="2" max="2"/>
    <col width="22" customWidth="1" min="3" max="3"/>
    <col width="18" customWidth="1" min="4" max="4"/>
    <col width="38" customWidth="1" min="5" max="5"/>
  </cols>
  <sheetData>
    <row r="1" ht="32" customHeight="1">
      <c r="A1" s="21" t="inlineStr">
        <is>
          <t xml:space="preserve">   — Cash Flow Waterfall    |    EBITDA → OCF → FCF → Net Cash Change</t>
        </is>
      </c>
    </row>
    <row r="2"/>
    <row r="3">
      <c r="A3" s="76" t="inlineStr">
        <is>
          <t>CASH FLOW BRIDGE</t>
        </is>
      </c>
    </row>
    <row r="4">
      <c r="A4" s="23" t="inlineStr">
        <is>
          <t>Step</t>
        </is>
      </c>
      <c r="B4" s="23" t="inlineStr">
        <is>
          <t>Amount ($M)</t>
        </is>
      </c>
      <c r="C4" s="23" t="inlineStr">
        <is>
          <t>Cumulative ($M)</t>
        </is>
      </c>
      <c r="D4" s="23" t="inlineStr">
        <is>
          <t>Type</t>
        </is>
      </c>
      <c r="E4" s="23" t="inlineStr">
        <is>
          <t>Commentary</t>
        </is>
      </c>
    </row>
    <row r="5">
      <c r="A5" s="55" t="inlineStr">
        <is>
          <t>EBITDA</t>
        </is>
      </c>
      <c r="B5" s="74" t="n">
        <v>134671</v>
      </c>
      <c r="C5" s="74" t="n">
        <v>134671</v>
      </c>
      <c r="D5" s="55" t="inlineStr">
        <is>
          <t>Operating</t>
        </is>
      </c>
      <c r="E5" s="55" t="inlineStr">
        <is>
          <t>Earnings before interest, tax, D&amp;A — proxy for operating cash</t>
        </is>
      </c>
    </row>
    <row r="6">
      <c r="A6" s="55" t="inlineStr">
        <is>
          <t>(-) Cash Taxes</t>
        </is>
      </c>
      <c r="B6" s="74" t="n">
        <v>-19684.56</v>
      </c>
      <c r="C6" s="74" t="n">
        <v>114986.44</v>
      </c>
      <c r="D6" s="55" t="inlineStr">
        <is>
          <t>Operating</t>
        </is>
      </c>
      <c r="E6" s="55" t="inlineStr"/>
    </row>
    <row r="7">
      <c r="A7" s="55" t="inlineStr">
        <is>
          <t>(-) WC Change</t>
        </is>
      </c>
      <c r="B7" s="74" t="n">
        <v>-7820.7</v>
      </c>
      <c r="C7" s="74" t="n">
        <v>107165.74</v>
      </c>
      <c r="D7" s="55" t="inlineStr">
        <is>
          <t>Operating</t>
        </is>
      </c>
      <c r="E7" s="55" t="inlineStr"/>
    </row>
    <row r="8">
      <c r="A8" s="152">
        <f> Operating CF</f>
        <v/>
      </c>
      <c r="B8" s="156" t="n">
        <v>107165.74</v>
      </c>
      <c r="C8" s="156" t="n">
        <v>214331.48</v>
      </c>
      <c r="D8" s="152" t="inlineStr">
        <is>
          <t>Subtotal</t>
        </is>
      </c>
      <c r="E8" s="152" t="inlineStr">
        <is>
          <t>Cash generated from core business operations</t>
        </is>
      </c>
    </row>
    <row r="9">
      <c r="A9" s="55" t="inlineStr">
        <is>
          <t>(-) CapEx</t>
        </is>
      </c>
      <c r="B9" s="74" t="n">
        <v>-9447</v>
      </c>
      <c r="C9" s="74" t="n">
        <v>204884.48</v>
      </c>
      <c r="D9" s="55" t="inlineStr">
        <is>
          <t>Operating</t>
        </is>
      </c>
      <c r="E9" s="55" t="inlineStr"/>
    </row>
    <row r="10">
      <c r="A10" s="152">
        <f> Free Cash Flow</f>
        <v/>
      </c>
      <c r="B10" s="156" t="n">
        <v>97718.74000000001</v>
      </c>
      <c r="C10" s="156" t="n">
        <v>302603.22</v>
      </c>
      <c r="D10" s="152" t="inlineStr">
        <is>
          <t>Subtotal</t>
        </is>
      </c>
      <c r="E10" s="152" t="inlineStr">
        <is>
          <t>OCF minus CapEx — available for allocation</t>
        </is>
      </c>
    </row>
    <row r="11">
      <c r="A11" s="55" t="inlineStr">
        <is>
          <t>(-) Debt Repay</t>
        </is>
      </c>
      <c r="B11" s="74" t="n">
        <v>-10130.4</v>
      </c>
      <c r="C11" s="74" t="n">
        <v>292472.82</v>
      </c>
      <c r="D11" s="55" t="inlineStr">
        <is>
          <t>Operating</t>
        </is>
      </c>
      <c r="E11" s="55" t="inlineStr"/>
    </row>
    <row r="12">
      <c r="A12" s="55" t="inlineStr">
        <is>
          <t>(-) Dividends</t>
        </is>
      </c>
      <c r="B12" s="74" t="n">
        <v>-14060.4</v>
      </c>
      <c r="C12" s="74" t="n">
        <v>278412.42</v>
      </c>
      <c r="D12" s="55" t="inlineStr">
        <is>
          <t>Operating</t>
        </is>
      </c>
      <c r="E12" s="55" t="inlineStr"/>
    </row>
    <row r="13">
      <c r="A13" s="55" t="inlineStr">
        <is>
          <t>(-) Buybacks</t>
        </is>
      </c>
      <c r="B13" s="74" t="n">
        <v>-9771.874</v>
      </c>
      <c r="C13" s="74" t="n">
        <v>268640.546</v>
      </c>
      <c r="D13" s="55" t="inlineStr">
        <is>
          <t>Operating</t>
        </is>
      </c>
      <c r="E13" s="55" t="inlineStr"/>
    </row>
    <row r="14">
      <c r="A14" s="86">
        <f> Net Cash Change</f>
        <v/>
      </c>
      <c r="B14" s="169" t="n">
        <v>63756.066</v>
      </c>
      <c r="C14" s="169" t="n">
        <v>332396.612</v>
      </c>
      <c r="D14" s="86" t="inlineStr">
        <is>
          <t>Total</t>
        </is>
      </c>
      <c r="E14" s="86" t="inlineStr">
        <is>
          <t>Total net change in cash and equivalents</t>
        </is>
      </c>
    </row>
    <row r="17">
      <c r="A17" s="63" t="inlineStr">
        <is>
          <t>FCF YIELD &amp; CAPITAL RETURNS</t>
        </is>
      </c>
    </row>
    <row r="18">
      <c r="A18" s="78" t="inlineStr">
        <is>
          <t>FCF ($M)</t>
        </is>
      </c>
      <c r="B18" s="177" t="n">
        <v>97718.74000000001</v>
      </c>
    </row>
    <row r="19">
      <c r="A19" s="78" t="inlineStr">
        <is>
          <t>FCF Margin</t>
        </is>
      </c>
      <c r="B19" s="178" t="n">
        <v>0.2498976817931899</v>
      </c>
    </row>
    <row r="20">
      <c r="A20" s="78" t="inlineStr">
        <is>
          <t>FCF Yield (vs Mkt Cap)</t>
        </is>
      </c>
      <c r="B20" s="178" t="n">
        <v>0.03016010493827161</v>
      </c>
    </row>
    <row r="21">
      <c r="A21" s="78" t="inlineStr">
        <is>
          <t>Debt Repay ($M)</t>
        </is>
      </c>
      <c r="B21" s="177" t="n">
        <v>10130.4</v>
      </c>
    </row>
    <row r="22">
      <c r="A22" s="78" t="inlineStr">
        <is>
          <t>Dividends ($M)</t>
        </is>
      </c>
      <c r="B22" s="177" t="n">
        <v>14060.4</v>
      </c>
    </row>
    <row r="23">
      <c r="A23" s="78" t="inlineStr">
        <is>
          <t>Buybacks ($M)</t>
        </is>
      </c>
      <c r="B23" s="177" t="n">
        <v>9771.874</v>
      </c>
    </row>
  </sheetData>
  <mergeCells count="3">
    <mergeCell ref="A17:E17"/>
    <mergeCell ref="A1:L1"/>
    <mergeCell ref="A3:E3"/>
  </mergeCells>
  <conditionalFormatting sqref="B5:C5">
    <cfRule type="cellIs" priority="1" operator="greaterThan" dxfId="0">
      <formula>0</formula>
    </cfRule>
    <cfRule type="cellIs" priority="2" operator="lessThan" dxfId="0">
      <formula>0</formula>
    </cfRule>
  </conditionalFormatting>
  <conditionalFormatting sqref="B6:C6">
    <cfRule type="cellIs" priority="3" operator="greaterThan" dxfId="0">
      <formula>0</formula>
    </cfRule>
    <cfRule type="cellIs" priority="4" operator="lessThan" dxfId="0">
      <formula>0</formula>
    </cfRule>
  </conditionalFormatting>
  <conditionalFormatting sqref="B7:C7">
    <cfRule type="cellIs" priority="5" operator="greaterThan" dxfId="0">
      <formula>0</formula>
    </cfRule>
    <cfRule type="cellIs" priority="6" operator="lessThan" dxfId="0">
      <formula>0</formula>
    </cfRule>
  </conditionalFormatting>
  <conditionalFormatting sqref="B8:C8">
    <cfRule type="cellIs" priority="7" operator="greaterThan" dxfId="0">
      <formula>0</formula>
    </cfRule>
    <cfRule type="cellIs" priority="8" operator="lessThan" dxfId="0">
      <formula>0</formula>
    </cfRule>
  </conditionalFormatting>
  <conditionalFormatting sqref="B9:C9">
    <cfRule type="cellIs" priority="9" operator="greaterThan" dxfId="0">
      <formula>0</formula>
    </cfRule>
    <cfRule type="cellIs" priority="10" operator="lessThan" dxfId="0">
      <formula>0</formula>
    </cfRule>
  </conditionalFormatting>
  <conditionalFormatting sqref="B10:C10">
    <cfRule type="cellIs" priority="11" operator="greaterThan" dxfId="0">
      <formula>0</formula>
    </cfRule>
    <cfRule type="cellIs" priority="12" operator="lessThan" dxfId="0">
      <formula>0</formula>
    </cfRule>
  </conditionalFormatting>
  <conditionalFormatting sqref="B11:C11">
    <cfRule type="cellIs" priority="13" operator="greaterThan" dxfId="0">
      <formula>0</formula>
    </cfRule>
    <cfRule type="cellIs" priority="14" operator="lessThan" dxfId="0">
      <formula>0</formula>
    </cfRule>
  </conditionalFormatting>
  <conditionalFormatting sqref="B12:C12">
    <cfRule type="cellIs" priority="15" operator="greaterThan" dxfId="0">
      <formula>0</formula>
    </cfRule>
    <cfRule type="cellIs" priority="16" operator="lessThan" dxfId="0">
      <formula>0</formula>
    </cfRule>
  </conditionalFormatting>
  <conditionalFormatting sqref="B13:C13">
    <cfRule type="cellIs" priority="17" operator="greaterThan" dxfId="0">
      <formula>0</formula>
    </cfRule>
    <cfRule type="cellIs" priority="18" operator="lessThan" dxfId="0">
      <formula>0</formula>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1.xml><?xml version="1.0" encoding="utf-8"?>
<worksheet xmlns="http://schemas.openxmlformats.org/spreadsheetml/2006/main">
  <sheetPr>
    <tabColor rgb="000071E3"/>
    <outlinePr summaryBelow="1" summaryRight="1"/>
    <pageSetUpPr fitToPage="1"/>
  </sheetPr>
  <dimension ref="A1:L19"/>
  <sheetViews>
    <sheetView showGridLines="0" workbookViewId="0">
      <pane ySplit="2" topLeftCell="A3" activePane="bottomLeft" state="frozen"/>
      <selection pane="bottomLeft" activeCell="A1" sqref="A1"/>
    </sheetView>
  </sheetViews>
  <sheetFormatPr baseColWidth="8" defaultRowHeight="15"/>
  <cols>
    <col width="32" customWidth="1" min="1" max="1"/>
    <col width="18" customWidth="1" min="2" max="2"/>
    <col width="18" customWidth="1" min="3" max="3"/>
    <col width="18" customWidth="1" min="4" max="4"/>
    <col width="26" customWidth="1" min="5" max="5"/>
  </cols>
  <sheetData>
    <row r="1" ht="32" customHeight="1">
      <c r="A1" s="21" t="inlineStr">
        <is>
          <t xml:space="preserve">   — Diluted Share Count    |    Treasury stock method — options, RSUs, convertibles</t>
        </is>
      </c>
    </row>
    <row r="2"/>
    <row r="3">
      <c r="A3" s="76" t="inlineStr">
        <is>
          <t>DILUTED SHARE COUNT BRIDGE (Treasury Stock Method)</t>
        </is>
      </c>
    </row>
    <row r="4">
      <c r="A4" s="23" t="inlineStr">
        <is>
          <t>Component</t>
        </is>
      </c>
      <c r="B4" s="23" t="inlineStr">
        <is>
          <t>Shares (M)</t>
        </is>
      </c>
      <c r="C4" s="23" t="inlineStr">
        <is>
          <t>% of Basic</t>
        </is>
      </c>
      <c r="D4" s="23" t="inlineStr">
        <is>
          <t>Description</t>
        </is>
      </c>
    </row>
    <row r="5">
      <c r="A5" s="55" t="inlineStr">
        <is>
          <t>Basic Shares Outstanding</t>
        </is>
      </c>
      <c r="B5" s="74" t="n">
        <v>14773.26</v>
      </c>
      <c r="C5" s="73" t="n">
        <v>1</v>
      </c>
      <c r="D5" s="55" t="inlineStr">
        <is>
          <t>Common shares currently issued and outstanding</t>
        </is>
      </c>
    </row>
    <row r="6">
      <c r="A6" s="58" t="inlineStr">
        <is>
          <t>(+) In-the-Money Options (net)</t>
        </is>
      </c>
      <c r="B6" s="81" t="n">
        <v>413.65128</v>
      </c>
      <c r="C6" s="92" t="n">
        <v>0.028</v>
      </c>
      <c r="D6" s="58" t="inlineStr">
        <is>
          <t>Options proceeds buy back shares at market price (treasury method)</t>
        </is>
      </c>
    </row>
    <row r="7">
      <c r="A7" s="55" t="inlineStr">
        <is>
          <t>(+) RSU Awards</t>
        </is>
      </c>
      <c r="B7" s="74" t="n">
        <v>295.4652</v>
      </c>
      <c r="C7" s="73" t="n">
        <v>0.02</v>
      </c>
      <c r="D7" s="55" t="inlineStr">
        <is>
          <t>Unvested restricted stock units at current vesting schedule</t>
        </is>
      </c>
    </row>
    <row r="8">
      <c r="A8" s="58" t="inlineStr">
        <is>
          <t>(+) Convertible Note Shares</t>
        </is>
      </c>
      <c r="B8" s="81" t="n">
        <v>147.7326</v>
      </c>
      <c r="C8" s="92" t="n">
        <v>0.01</v>
      </c>
      <c r="D8" s="58" t="inlineStr">
        <is>
          <t>If-converted method for outstanding convertible notes</t>
        </is>
      </c>
    </row>
    <row r="9">
      <c r="A9" s="86">
        <f> Diluted Shares Outstanding</f>
        <v/>
      </c>
      <c r="B9" s="169" t="n">
        <v>15630.10908</v>
      </c>
      <c r="C9" s="174" t="n">
        <v>1.058</v>
      </c>
      <c r="D9" s="86" t="inlineStr">
        <is>
          <t>Full dilution including all dilutive securities</t>
        </is>
      </c>
    </row>
    <row r="12">
      <c r="A12" s="63" t="inlineStr">
        <is>
          <t>DILUTION IMPACT ON EPS &amp; VALUATION</t>
        </is>
      </c>
    </row>
    <row r="13">
      <c r="A13" s="23" t="inlineStr">
        <is>
          <t>Metric</t>
        </is>
      </c>
      <c r="B13" s="23" t="inlineStr">
        <is>
          <t>Basic</t>
        </is>
      </c>
      <c r="C13" s="23" t="inlineStr">
        <is>
          <t>Diluted</t>
        </is>
      </c>
      <c r="D13" s="23" t="inlineStr">
        <is>
          <t>Dilution Impact</t>
        </is>
      </c>
      <c r="E13" s="23" t="inlineStr">
        <is>
          <t>Note</t>
        </is>
      </c>
    </row>
    <row r="14">
      <c r="A14" s="55" t="inlineStr">
        <is>
          <t>Shares (M)</t>
        </is>
      </c>
      <c r="B14" s="64" t="n">
        <v>14773.26</v>
      </c>
      <c r="C14" s="74" t="n">
        <v>15630.10908</v>
      </c>
      <c r="D14" s="74" t="n">
        <v>856.84908</v>
      </c>
      <c r="E14" s="55" t="inlineStr">
        <is>
          <t>Absolute share count</t>
        </is>
      </c>
    </row>
    <row r="15">
      <c r="A15" s="58" t="inlineStr">
        <is>
          <t>EPS ($)</t>
        </is>
      </c>
      <c r="B15" s="81" t="n">
        <v>6.344977344201618</v>
      </c>
      <c r="C15" s="66" t="n">
        <v>5.997143047449545</v>
      </c>
      <c r="D15" s="66" t="n">
        <v>-0.3478342967520733</v>
      </c>
      <c r="E15" s="58" t="inlineStr">
        <is>
          <t>Earnings per share</t>
        </is>
      </c>
    </row>
    <row r="16">
      <c r="A16" s="55" t="inlineStr">
        <is>
          <t>Price / Share (Mkt Cap based)</t>
        </is>
      </c>
      <c r="B16" s="64" t="n">
        <v>219.315168080708</v>
      </c>
      <c r="C16" s="64" t="n">
        <v>207.2922193579471</v>
      </c>
      <c r="D16" s="64" t="n">
        <v>-12.02294872276093</v>
      </c>
      <c r="E16" s="55" t="inlineStr">
        <is>
          <t>Market implied per-share value</t>
        </is>
      </c>
    </row>
    <row r="17">
      <c r="A17" s="58" t="inlineStr">
        <is>
          <t>Dilution %</t>
        </is>
      </c>
      <c r="B17" s="81" t="n">
        <v>0</v>
      </c>
      <c r="C17" s="92" t="n">
        <v>0.058</v>
      </c>
      <c r="D17" s="92" t="n">
        <v>0.058</v>
      </c>
      <c r="E17" s="58" t="inlineStr">
        <is>
          <t>Total dilution vs. basic count</t>
        </is>
      </c>
    </row>
    <row r="19">
      <c r="A19" s="133" t="inlineStr">
        <is>
          <t>⚠ Treasury stock method -- verify with actual option tables and convertible note terms</t>
        </is>
      </c>
    </row>
  </sheetData>
  <mergeCells count="3">
    <mergeCell ref="A3:F3"/>
    <mergeCell ref="A1:L1"/>
    <mergeCell ref="A12:F12"/>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2.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24" customWidth="1" min="1" max="1"/>
    <col width="16" customWidth="1" min="2" max="2"/>
    <col width="16" customWidth="1" min="3" max="3"/>
    <col width="14" customWidth="1" min="4" max="4"/>
    <col width="16" customWidth="1" min="5" max="5"/>
    <col width="12" customWidth="1" min="6" max="6"/>
    <col width="18" customWidth="1" min="7" max="7"/>
  </cols>
  <sheetData>
    <row r="1" ht="32" customHeight="1">
      <c r="A1" s="21" t="inlineStr">
        <is>
          <t xml:space="preserve">   — Debt Maturity &amp; Credit Metrics    |    Maturity profile, interest coverage, 5-year paydown</t>
        </is>
      </c>
    </row>
    <row r="2"/>
    <row r="3">
      <c r="A3" s="76" t="inlineStr">
        <is>
          <t>CREDIT METRICS SUMMARY</t>
        </is>
      </c>
    </row>
    <row r="4">
      <c r="A4" s="23" t="inlineStr">
        <is>
          <t>Metric</t>
        </is>
      </c>
      <c r="B4" s="23" t="inlineStr">
        <is>
          <t>Value</t>
        </is>
      </c>
      <c r="C4" s="23" t="inlineStr">
        <is>
          <t>Assessment</t>
        </is>
      </c>
      <c r="D4" s="23" t="inlineStr">
        <is>
          <t>Commentary</t>
        </is>
      </c>
    </row>
    <row r="5">
      <c r="A5" s="55" t="inlineStr">
        <is>
          <t>Total Debt ($M)</t>
        </is>
      </c>
      <c r="B5" s="74" t="n">
        <v>101304</v>
      </c>
      <c r="C5" s="57" t="inlineStr"/>
      <c r="D5" s="55" t="inlineStr">
        <is>
          <t>All interest-bearing obligations</t>
        </is>
      </c>
    </row>
    <row r="6">
      <c r="A6" s="58" t="inlineStr">
        <is>
          <t>Annual Interest ($M)</t>
        </is>
      </c>
      <c r="B6" s="81" t="n">
        <v>5571.72</v>
      </c>
      <c r="C6" s="59" t="inlineStr"/>
      <c r="D6" s="58" t="inlineStr">
        <is>
          <t>Based on blended rate of 5.5%</t>
        </is>
      </c>
    </row>
    <row r="7">
      <c r="A7" s="55" t="inlineStr">
        <is>
          <t>Interest Coverage (EBIT/Int.)</t>
        </is>
      </c>
      <c r="B7" s="179" t="n">
        <v>22.11</v>
      </c>
      <c r="C7" s="180" t="inlineStr">
        <is>
          <t>STRONG (&gt;3x)</t>
        </is>
      </c>
      <c r="D7" s="55" t="inlineStr">
        <is>
          <t>EBIT divided by annual interest expense</t>
        </is>
      </c>
    </row>
    <row r="8">
      <c r="A8" s="58" t="inlineStr">
        <is>
          <t>Net Debt / EBITDA</t>
        </is>
      </c>
      <c r="B8" s="91" t="n">
        <v>0.485405172605832</v>
      </c>
      <c r="C8" s="59" t="inlineStr">
        <is>
          <t>STRONG</t>
        </is>
      </c>
      <c r="D8" s="58" t="inlineStr">
        <is>
          <t>Leverage measure</t>
        </is>
      </c>
    </row>
    <row r="9">
      <c r="A9" s="55" t="inlineStr">
        <is>
          <t>Blended Interest Rate</t>
        </is>
      </c>
      <c r="B9" s="73" t="n">
        <v>0.055</v>
      </c>
      <c r="C9" s="57" t="inlineStr">
        <is>
          <t>Market rate</t>
        </is>
      </c>
      <c r="D9" s="55" t="inlineStr">
        <is>
          <t>Cost of outstanding debt</t>
        </is>
      </c>
    </row>
    <row r="10"/>
    <row r="11"/>
    <row r="12">
      <c r="A12" s="63" t="inlineStr">
        <is>
          <t>DEBT MATURITY SCHEDULE</t>
        </is>
      </c>
    </row>
    <row r="13">
      <c r="A13" s="23" t="inlineStr">
        <is>
          <t>Maturity Bucket</t>
        </is>
      </c>
      <c r="B13" s="23" t="inlineStr">
        <is>
          <t>Amount ($M)</t>
        </is>
      </c>
      <c r="C13" s="23" t="inlineStr">
        <is>
          <t>% of Total</t>
        </is>
      </c>
      <c r="D13" s="23" t="inlineStr">
        <is>
          <t>Interest ($M)</t>
        </is>
      </c>
      <c r="E13" s="23" t="inlineStr">
        <is>
          <t>Action Required</t>
        </is>
      </c>
    </row>
    <row r="14">
      <c r="A14" s="152" t="inlineStr">
        <is>
          <t>Current (&lt;1yr)</t>
        </is>
      </c>
      <c r="B14" s="156" t="n">
        <v>10130.4</v>
      </c>
      <c r="C14" s="159" t="n">
        <v>0.1</v>
      </c>
      <c r="D14" s="181" t="n">
        <v>557.172</v>
      </c>
      <c r="E14" s="152" t="inlineStr">
        <is>
          <t>Refinance or repay — near-term priority</t>
        </is>
      </c>
    </row>
    <row r="15">
      <c r="A15" s="58" t="inlineStr">
        <is>
          <t>Year 2</t>
        </is>
      </c>
      <c r="B15" s="81" t="n">
        <v>15195.6</v>
      </c>
      <c r="C15" s="92" t="n">
        <v>0.15</v>
      </c>
      <c r="D15" s="182" t="n">
        <v>835.758</v>
      </c>
      <c r="E15" s="58" t="inlineStr">
        <is>
          <t>Begin refinancing process 12 months ahead</t>
        </is>
      </c>
    </row>
    <row r="16">
      <c r="A16" s="55" t="inlineStr">
        <is>
          <t>Year 3</t>
        </is>
      </c>
      <c r="B16" s="74" t="n">
        <v>20260.8</v>
      </c>
      <c r="C16" s="73" t="n">
        <v>0.2</v>
      </c>
      <c r="D16" s="183" t="n">
        <v>1114.344</v>
      </c>
      <c r="E16" s="55" t="inlineStr">
        <is>
          <t>Monitor rates; consider early refinance if beneficial</t>
        </is>
      </c>
    </row>
    <row r="17">
      <c r="A17" s="58" t="inlineStr">
        <is>
          <t>Year 4-5</t>
        </is>
      </c>
      <c r="B17" s="81" t="n">
        <v>25326</v>
      </c>
      <c r="C17" s="92" t="n">
        <v>0.25</v>
      </c>
      <c r="D17" s="182" t="n">
        <v>1392.93</v>
      </c>
      <c r="E17" s="58" t="inlineStr">
        <is>
          <t>Long-term management — build sinking fund</t>
        </is>
      </c>
    </row>
    <row r="18">
      <c r="A18" s="55" t="inlineStr">
        <is>
          <t>Year 5+</t>
        </is>
      </c>
      <c r="B18" s="74" t="n">
        <v>30391.2</v>
      </c>
      <c r="C18" s="73" t="n">
        <v>0.3</v>
      </c>
      <c r="D18" s="183" t="n">
        <v>1671.516</v>
      </c>
      <c r="E18" s="55" t="inlineStr">
        <is>
          <t>Evaluate optimal capital structure at renewal</t>
        </is>
      </c>
    </row>
    <row r="19"/>
    <row r="20"/>
    <row r="21">
      <c r="A21" s="63" t="inlineStr">
        <is>
          <t>5-YEAR DEBT PAYDOWN PROJECTION</t>
        </is>
      </c>
    </row>
    <row r="22">
      <c r="A22" s="23" t="inlineStr">
        <is>
          <t>Year</t>
        </is>
      </c>
      <c r="B22" s="23" t="inlineStr">
        <is>
          <t>Debt ($M)</t>
        </is>
      </c>
      <c r="C22" s="23" t="inlineStr">
        <is>
          <t>EBITDA ($M)</t>
        </is>
      </c>
      <c r="D22" s="23" t="inlineStr">
        <is>
          <t>Net Leverage</t>
        </is>
      </c>
      <c r="E22" s="23" t="inlineStr">
        <is>
          <t>Interest ($M)</t>
        </is>
      </c>
      <c r="F22" s="23" t="inlineStr">
        <is>
          <t>Coverage</t>
        </is>
      </c>
      <c r="G22" s="23" t="inlineStr">
        <is>
          <t>Assessment</t>
        </is>
      </c>
    </row>
    <row r="23">
      <c r="A23" s="55" t="inlineStr">
        <is>
          <t>Y1</t>
        </is>
      </c>
      <c r="B23" s="74" t="n">
        <v>65037.214528</v>
      </c>
      <c r="C23" s="74" t="n">
        <v>155008.717969</v>
      </c>
      <c r="D23" s="184" t="n">
        <v>0.42</v>
      </c>
      <c r="E23" s="74" t="n">
        <v>3577.046799</v>
      </c>
      <c r="F23" s="90" t="n">
        <v>43.3</v>
      </c>
      <c r="G23" s="57" t="inlineStr">
        <is>
          <t>STRONG</t>
        </is>
      </c>
    </row>
    <row r="24">
      <c r="A24" s="58" t="inlineStr">
        <is>
          <t>Y2</t>
        </is>
      </c>
      <c r="B24" s="81" t="n">
        <v>26050.420146</v>
      </c>
      <c r="C24" s="81" t="n">
        <v>166634.371816</v>
      </c>
      <c r="D24" s="184" t="n">
        <v>0.16</v>
      </c>
      <c r="E24" s="81" t="n">
        <v>1432.773108</v>
      </c>
      <c r="F24" s="91" t="n">
        <v>116.3</v>
      </c>
      <c r="G24" s="59" t="inlineStr">
        <is>
          <t>STRONG</t>
        </is>
      </c>
    </row>
    <row r="25">
      <c r="A25" s="55" t="inlineStr">
        <is>
          <t>Y3</t>
        </is>
      </c>
      <c r="B25" s="74" t="n">
        <v>0</v>
      </c>
      <c r="C25" s="74" t="n">
        <v>179131.949703</v>
      </c>
      <c r="D25" s="184" t="n">
        <v>0</v>
      </c>
      <c r="E25" s="74" t="n">
        <v>0</v>
      </c>
      <c r="F25" s="90" t="n">
        <v>179131949702.6</v>
      </c>
      <c r="G25" s="57" t="inlineStr">
        <is>
          <t>STRONG</t>
        </is>
      </c>
    </row>
    <row r="26">
      <c r="A26" s="58" t="inlineStr">
        <is>
          <t>Y4</t>
        </is>
      </c>
      <c r="B26" s="81" t="n">
        <v>0</v>
      </c>
      <c r="C26" s="81" t="n">
        <v>182041.800032</v>
      </c>
      <c r="D26" s="184" t="n">
        <v>0</v>
      </c>
      <c r="E26" s="81" t="n">
        <v>0</v>
      </c>
      <c r="F26" s="91" t="n">
        <v>182041800032.3</v>
      </c>
      <c r="G26" s="59" t="inlineStr">
        <is>
          <t>STRONG</t>
        </is>
      </c>
    </row>
    <row r="27">
      <c r="A27" s="55" t="inlineStr">
        <is>
          <t>Y5</t>
        </is>
      </c>
      <c r="B27" s="74" t="n">
        <v>0</v>
      </c>
      <c r="C27" s="74" t="n">
        <v>192964.308034</v>
      </c>
      <c r="D27" s="184" t="n">
        <v>0</v>
      </c>
      <c r="E27" s="74" t="n">
        <v>0</v>
      </c>
      <c r="F27" s="90" t="n">
        <v>192964308034.2</v>
      </c>
      <c r="G27" s="57" t="inlineStr">
        <is>
          <t>STRONG</t>
        </is>
      </c>
    </row>
    <row r="28"/>
    <row r="29"/>
    <row r="30"/>
    <row r="31"/>
    <row r="32"/>
    <row r="33"/>
    <row r="34"/>
    <row r="35"/>
    <row r="36"/>
    <row r="37"/>
    <row r="38"/>
    <row r="39"/>
    <row r="40"/>
    <row r="41"/>
    <row r="42"/>
    <row r="43"/>
    <row r="44"/>
    <row r="45"/>
    <row r="46"/>
    <row r="47"/>
    <row r="48"/>
    <row r="49"/>
    <row r="50"/>
  </sheetData>
  <mergeCells count="4">
    <mergeCell ref="A21:G21"/>
    <mergeCell ref="A12:E12"/>
    <mergeCell ref="A1:L1"/>
    <mergeCell ref="A3:E3"/>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3.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16" customWidth="1" min="1" max="1"/>
    <col width="14" customWidth="1" min="2" max="2"/>
    <col width="14" customWidth="1" min="3" max="3"/>
    <col width="14" customWidth="1" min="4" max="4"/>
    <col width="14" customWidth="1" min="5" max="5"/>
    <col width="14" customWidth="1" min="6" max="6"/>
    <col width="18" customWidth="1" min="7" max="7"/>
  </cols>
  <sheetData>
    <row r="1" ht="32" customHeight="1">
      <c r="A1" s="21" t="inlineStr">
        <is>
          <t xml:space="preserve">   — IRR at Multiple Entry Prices    |    Returns analysis across entry prices and hold periods</t>
        </is>
      </c>
    </row>
    <row r="2"/>
    <row r="3">
      <c r="A3" s="76" t="inlineStr">
        <is>
          <t>IRR MATRIX — ENTRY PRICE vs EXIT SCENARIO</t>
        </is>
      </c>
    </row>
    <row r="4">
      <c r="A4" s="23" t="inlineStr">
        <is>
          <t>Entry Price</t>
        </is>
      </c>
      <c r="B4" s="23" t="inlineStr">
        <is>
          <t>vs Current</t>
        </is>
      </c>
      <c r="C4" s="23" t="inlineStr">
        <is>
          <t>3yr Base</t>
        </is>
      </c>
      <c r="D4" s="23" t="inlineStr">
        <is>
          <t>5yr Base</t>
        </is>
      </c>
      <c r="E4" s="23" t="inlineStr">
        <is>
          <t>5yr Bull</t>
        </is>
      </c>
      <c r="F4" s="23" t="inlineStr">
        <is>
          <t>7yr Base</t>
        </is>
      </c>
      <c r="G4" s="23" t="inlineStr">
        <is>
          <t>Verdict</t>
        </is>
      </c>
    </row>
    <row r="5">
      <c r="A5" s="64" t="n">
        <v>149.1</v>
      </c>
      <c r="B5" s="73" t="n">
        <v>-0.3</v>
      </c>
      <c r="C5" s="185" t="n">
        <v>0.12</v>
      </c>
      <c r="D5" s="186" t="n">
        <v>0.07099999999999999</v>
      </c>
      <c r="E5" s="187" t="n">
        <v>0.15</v>
      </c>
      <c r="F5" s="186" t="n">
        <v>0.05</v>
      </c>
      <c r="G5" s="56" t="inlineStr">
        <is>
          <t>ACCEPTABLE</t>
        </is>
      </c>
    </row>
    <row r="6">
      <c r="A6" s="64" t="n">
        <v>181.05</v>
      </c>
      <c r="B6" s="73" t="n">
        <v>-0.15</v>
      </c>
      <c r="C6" s="186" t="n">
        <v>0.05</v>
      </c>
      <c r="D6" s="186" t="n">
        <v>0.03</v>
      </c>
      <c r="E6" s="188" t="n">
        <v>0.106</v>
      </c>
      <c r="F6" s="186" t="n">
        <v>0.021</v>
      </c>
      <c r="G6" s="189" t="inlineStr">
        <is>
          <t>UNATTRACTIVE</t>
        </is>
      </c>
    </row>
    <row r="7">
      <c r="A7" s="64" t="n">
        <v>213</v>
      </c>
      <c r="B7" s="73" t="n">
        <v>0</v>
      </c>
      <c r="C7" s="186" t="n">
        <v>-0.005</v>
      </c>
      <c r="D7" s="186" t="n">
        <v>-0.003</v>
      </c>
      <c r="E7" s="188" t="n">
        <v>0.07099999999999999</v>
      </c>
      <c r="F7" s="186" t="n">
        <v>-0.002</v>
      </c>
      <c r="G7" s="189" t="inlineStr">
        <is>
          <t>UNATTRACTIVE</t>
        </is>
      </c>
    </row>
    <row r="8">
      <c r="A8" s="64" t="n">
        <v>244.95</v>
      </c>
      <c r="B8" s="73" t="n">
        <v>0.15</v>
      </c>
      <c r="C8" s="186" t="n">
        <v>-0.051</v>
      </c>
      <c r="D8" s="186" t="n">
        <v>-0.031</v>
      </c>
      <c r="E8" s="188" t="n">
        <v>0.04099999999999999</v>
      </c>
      <c r="F8" s="186" t="n">
        <v>-0.022</v>
      </c>
      <c r="G8" s="189" t="inlineStr">
        <is>
          <t>UNATTRACTIVE</t>
        </is>
      </c>
    </row>
    <row r="9">
      <c r="A9" s="64" t="n">
        <v>276.9</v>
      </c>
      <c r="B9" s="73" t="n">
        <v>0.3</v>
      </c>
      <c r="C9" s="186" t="n">
        <v>-0.08900000000000001</v>
      </c>
      <c r="D9" s="186" t="n">
        <v>-0.05400000000000001</v>
      </c>
      <c r="E9" s="188" t="n">
        <v>0.016</v>
      </c>
      <c r="F9" s="186" t="n">
        <v>-0.039</v>
      </c>
      <c r="G9" s="189" t="inlineStr">
        <is>
          <t>UNATTRACTIVE</t>
        </is>
      </c>
    </row>
    <row r="10"/>
    <row r="11"/>
    <row r="12">
      <c r="A12" s="63" t="inlineStr">
        <is>
          <t>IRR INTERPRETATION GUIDE</t>
        </is>
      </c>
    </row>
    <row r="13">
      <c r="A13" s="23" t="inlineStr">
        <is>
          <t>IRR Range</t>
        </is>
      </c>
      <c r="B13" s="23" t="inlineStr">
        <is>
          <t>Rating</t>
        </is>
      </c>
      <c r="C13" s="23" t="inlineStr">
        <is>
          <t>Commentary</t>
        </is>
      </c>
    </row>
    <row r="14">
      <c r="A14" s="57" t="inlineStr">
        <is>
          <t>≥ 25%</t>
        </is>
      </c>
      <c r="B14" s="190" t="inlineStr">
        <is>
          <t>EXCEPTIONAL</t>
        </is>
      </c>
      <c r="C14" s="78" t="inlineStr">
        <is>
          <t>Best-in-class PE / VC returns threshold</t>
        </is>
      </c>
    </row>
    <row r="15">
      <c r="A15" s="57" t="inlineStr">
        <is>
          <t>20-25%</t>
        </is>
      </c>
      <c r="B15" s="190" t="inlineStr">
        <is>
          <t>EXCELLENT</t>
        </is>
      </c>
      <c r="C15" s="78" t="inlineStr">
        <is>
          <t>Top-quartile private equity return</t>
        </is>
      </c>
    </row>
    <row r="16">
      <c r="A16" s="57" t="inlineStr">
        <is>
          <t>15-20%</t>
        </is>
      </c>
      <c r="B16" s="56" t="inlineStr">
        <is>
          <t>GOOD</t>
        </is>
      </c>
      <c r="C16" s="78" t="inlineStr">
        <is>
          <t>Strong risk-adjusted public market return</t>
        </is>
      </c>
    </row>
    <row r="17">
      <c r="A17" s="57" t="inlineStr">
        <is>
          <t>12-15%</t>
        </is>
      </c>
      <c r="B17" s="56" t="inlineStr">
        <is>
          <t>ACCEPTABLE</t>
        </is>
      </c>
      <c r="C17" s="78" t="inlineStr">
        <is>
          <t>Meets institutional hurdle rate</t>
        </is>
      </c>
    </row>
    <row r="18">
      <c r="A18" s="57" t="inlineStr">
        <is>
          <t>&lt; 12%</t>
        </is>
      </c>
      <c r="B18" s="189" t="inlineStr">
        <is>
          <t>BELOW HURDLE</t>
        </is>
      </c>
      <c r="C18" s="78" t="inlineStr">
        <is>
          <t>Does not compensate for risk / illiquidity</t>
        </is>
      </c>
    </row>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F3"/>
    <mergeCell ref="A12:E12"/>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4.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s>
  <sheetData>
    <row r="1" ht="32" customHeight="1">
      <c r="A1" s="21" t="inlineStr">
        <is>
          <t xml:space="preserve">   — Pro-Forma Balance Sheet    |    5-year projected balance sheet based on DCF assumptions</t>
        </is>
      </c>
    </row>
    <row r="2"/>
    <row r="3">
      <c r="A3" s="23" t="inlineStr">
        <is>
          <t>Line Item</t>
        </is>
      </c>
      <c r="B3" s="23" t="inlineStr">
        <is>
          <t>Y1</t>
        </is>
      </c>
      <c r="C3" s="23" t="inlineStr">
        <is>
          <t>Y2</t>
        </is>
      </c>
      <c r="D3" s="23" t="inlineStr">
        <is>
          <t>Y3</t>
        </is>
      </c>
      <c r="E3" s="23" t="inlineStr">
        <is>
          <t>Y4</t>
        </is>
      </c>
      <c r="F3" s="23" t="inlineStr">
        <is>
          <t>Y5</t>
        </is>
      </c>
    </row>
    <row r="4">
      <c r="A4" s="76" t="inlineStr">
        <is>
          <t>BALANCE SHEET SUMMARY ($M)</t>
        </is>
      </c>
    </row>
    <row r="5">
      <c r="A5" s="80" t="inlineStr">
        <is>
          <t>Revenue ($M)</t>
        </is>
      </c>
      <c r="B5" s="134" t="n">
        <v>420362.625</v>
      </c>
      <c r="C5" s="134" t="n">
        <v>451889.821875</v>
      </c>
      <c r="D5" s="134" t="n">
        <v>485781.558516</v>
      </c>
      <c r="E5" s="134" t="n">
        <v>493672.678054</v>
      </c>
      <c r="F5" s="134" t="n">
        <v>523293.038737</v>
      </c>
    </row>
    <row r="6">
      <c r="A6" s="78" t="inlineStr">
        <is>
          <t>Net Income ($M)</t>
        </is>
      </c>
      <c r="B6" s="132" t="n">
        <v>97965.509756</v>
      </c>
      <c r="C6" s="132" t="n">
        <v>105312.922988</v>
      </c>
      <c r="D6" s="132" t="n">
        <v>113211.392212</v>
      </c>
      <c r="E6" s="132" t="n">
        <v>115050.41762</v>
      </c>
      <c r="F6" s="132" t="n">
        <v>121953.442678</v>
      </c>
    </row>
    <row r="7">
      <c r="A7" s="77" t="inlineStr">
        <is>
          <t>Cash &amp; Equivalents ($M)</t>
        </is>
      </c>
      <c r="B7" s="191" t="n">
        <v>61414.280514</v>
      </c>
      <c r="C7" s="191" t="n">
        <v>88805.582067</v>
      </c>
      <c r="D7" s="191" t="n">
        <v>118251.231237</v>
      </c>
      <c r="E7" s="191" t="n">
        <v>148175.200617</v>
      </c>
      <c r="F7" s="191" t="n">
        <v>179894.60816</v>
      </c>
    </row>
    <row r="8">
      <c r="A8" s="77" t="inlineStr">
        <is>
          <t>Total Assets ($M)</t>
        </is>
      </c>
      <c r="B8" s="191" t="n">
        <v>153053.332764</v>
      </c>
      <c r="C8" s="191" t="n">
        <v>209008.274686</v>
      </c>
      <c r="D8" s="191" t="n">
        <v>270786.640611</v>
      </c>
      <c r="E8" s="191" t="n">
        <v>326884.710072</v>
      </c>
      <c r="F8" s="191" t="n">
        <v>394444.754042</v>
      </c>
    </row>
    <row r="9">
      <c r="A9" s="78" t="inlineStr">
        <is>
          <t>Total Debt ($M)</t>
        </is>
      </c>
      <c r="B9" s="132" t="n">
        <v>75823.719486</v>
      </c>
      <c r="C9" s="132" t="n">
        <v>48432.417933</v>
      </c>
      <c r="D9" s="132" t="n">
        <v>18986.768763</v>
      </c>
      <c r="E9" s="132" t="n">
        <v>0</v>
      </c>
      <c r="F9" s="132" t="n">
        <v>0</v>
      </c>
    </row>
    <row r="10">
      <c r="A10" s="77" t="inlineStr">
        <is>
          <t>Net Debt ($M)</t>
        </is>
      </c>
      <c r="B10" s="191" t="n">
        <v>14409.438971</v>
      </c>
      <c r="C10" s="191" t="n">
        <v>-40373.164135</v>
      </c>
      <c r="D10" s="191" t="n">
        <v>-99264.462474</v>
      </c>
      <c r="E10" s="191" t="n">
        <v>-148175.200617</v>
      </c>
      <c r="F10" s="191" t="n">
        <v>-179894.60816</v>
      </c>
    </row>
    <row r="11">
      <c r="A11" s="77" t="inlineStr">
        <is>
          <t>Total Equity ($M)</t>
        </is>
      </c>
      <c r="B11" s="191" t="n">
        <v>39396.977029</v>
      </c>
      <c r="C11" s="191" t="n">
        <v>119905.772785</v>
      </c>
      <c r="D11" s="191" t="n">
        <v>208079.531581</v>
      </c>
      <c r="E11" s="191" t="n">
        <v>282454.169048</v>
      </c>
      <c r="F11" s="191" t="n">
        <v>347348.380556</v>
      </c>
    </row>
    <row r="12">
      <c r="A12" s="78" t="inlineStr">
        <is>
          <t>Net Debt / EBITDA</t>
        </is>
      </c>
      <c r="B12" s="90" t="n">
        <v>5.6e-07</v>
      </c>
      <c r="C12" s="90" t="n">
        <v>3.3e-07</v>
      </c>
      <c r="D12" s="90" t="n">
        <v>1.2e-07</v>
      </c>
      <c r="E12" s="90" t="n">
        <v>0</v>
      </c>
      <c r="F12" s="90" t="n">
        <v>0</v>
      </c>
    </row>
    <row r="13"/>
    <row r="14"/>
    <row r="15">
      <c r="A15" s="63" t="inlineStr">
        <is>
          <t>YEAR-OVER-YEAR CHANGE SUMMARY</t>
        </is>
      </c>
    </row>
    <row r="16">
      <c r="A16" s="23" t="inlineStr">
        <is>
          <t>Metric</t>
        </is>
      </c>
      <c r="B16" s="23" t="inlineStr">
        <is>
          <t>Y1</t>
        </is>
      </c>
      <c r="C16" s="23" t="inlineStr">
        <is>
          <t>Y2</t>
        </is>
      </c>
      <c r="D16" s="23" t="inlineStr">
        <is>
          <t>Y3</t>
        </is>
      </c>
      <c r="E16" s="23" t="inlineStr">
        <is>
          <t>Y4</t>
        </is>
      </c>
      <c r="F16" s="23" t="inlineStr">
        <is>
          <t>Y5</t>
        </is>
      </c>
    </row>
    <row r="17">
      <c r="A17" s="78" t="inlineStr">
        <is>
          <t>Cash Growth</t>
        </is>
      </c>
      <c r="C17" s="73" t="n">
        <v>0.4460086697059958</v>
      </c>
      <c r="D17" s="73" t="n">
        <v>0.3315743051803267</v>
      </c>
      <c r="E17" s="73" t="n">
        <v>0.2530541886707814</v>
      </c>
      <c r="F17" s="73" t="n">
        <v>0.2140669114056921</v>
      </c>
    </row>
    <row r="18">
      <c r="A18" s="78" t="inlineStr">
        <is>
          <t>Debt Reduction</t>
        </is>
      </c>
      <c r="C18" s="73" t="n">
        <v>-0.3612497743276429</v>
      </c>
      <c r="D18" s="73" t="n">
        <v>-0.607973965097804</v>
      </c>
      <c r="E18" s="73" t="n">
        <v>-1</v>
      </c>
    </row>
    <row r="19">
      <c r="A19" s="78" t="inlineStr">
        <is>
          <t>Equity Growth</t>
        </is>
      </c>
      <c r="C19" s="73" t="n">
        <v>2.04352724059863</v>
      </c>
      <c r="D19" s="73" t="n">
        <v>0.7353587466893869</v>
      </c>
      <c r="E19" s="73" t="n">
        <v>0.3574337028822456</v>
      </c>
      <c r="F19" s="73" t="n">
        <v>0.2297512963845541</v>
      </c>
    </row>
    <row r="20"/>
    <row r="21">
      <c r="A21" s="133" t="inlineStr">
        <is>
          <t>⚠ Projected balance sheet based on DCF assumptions</t>
        </is>
      </c>
    </row>
    <row r="22"/>
    <row r="23"/>
    <row r="24"/>
    <row r="25"/>
    <row r="26"/>
    <row r="27"/>
    <row r="28"/>
    <row r="29"/>
    <row r="30"/>
    <row r="31"/>
    <row r="32"/>
    <row r="33"/>
    <row r="34"/>
    <row r="35"/>
    <row r="36"/>
    <row r="37"/>
    <row r="38"/>
    <row r="39"/>
    <row r="40"/>
    <row r="41"/>
    <row r="42"/>
    <row r="43"/>
    <row r="44"/>
    <row r="45"/>
    <row r="46"/>
    <row r="47"/>
    <row r="48"/>
    <row r="49"/>
    <row r="50"/>
  </sheetData>
  <mergeCells count="3">
    <mergeCell ref="A15:F15"/>
    <mergeCell ref="A1:L1"/>
    <mergeCell ref="A4:F4"/>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5.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24" customWidth="1" min="1" max="1"/>
    <col width="14" customWidth="1" min="2" max="2"/>
    <col width="18" customWidth="1" min="3" max="3"/>
    <col width="18" customWidth="1" min="4" max="4"/>
    <col width="14" customWidth="1" min="5" max="5"/>
    <col width="12" customWidth="1" min="6" max="6"/>
    <col width="16" customWidth="1" min="7" max="7"/>
  </cols>
  <sheetData>
    <row r="1" ht="32" customHeight="1">
      <c r="A1" s="21" t="inlineStr">
        <is>
          <t xml:space="preserve">   — Acquisition Premium Analysis    |    M&amp;A scenarios: implied price, EV multiples, strategic value</t>
        </is>
      </c>
    </row>
    <row r="2"/>
    <row r="3">
      <c r="A3" s="76" t="inlineStr">
        <is>
          <t>M&amp;A SCENARIO ANALYSIS  (Base Price: $213.00)</t>
        </is>
      </c>
    </row>
    <row r="4">
      <c r="A4" s="23" t="inlineStr">
        <is>
          <t>Scenario</t>
        </is>
      </c>
      <c r="B4" s="23" t="inlineStr">
        <is>
          <t>Premium</t>
        </is>
      </c>
      <c r="C4" s="23" t="inlineStr">
        <is>
          <t>Price / Share</t>
        </is>
      </c>
      <c r="D4" s="23" t="inlineStr">
        <is>
          <t>Equity Value ($B)</t>
        </is>
      </c>
      <c r="E4" s="23" t="inlineStr">
        <is>
          <t>EV ($B)</t>
        </is>
      </c>
      <c r="F4" s="23" t="inlineStr">
        <is>
          <t>EV/EBITDA</t>
        </is>
      </c>
      <c r="G4" s="23" t="inlineStr">
        <is>
          <t>Synergies ($M)</t>
        </is>
      </c>
    </row>
    <row r="5">
      <c r="A5" s="55" t="inlineStr">
        <is>
          <t>Minimal premium</t>
        </is>
      </c>
      <c r="B5" s="97" t="n">
        <v>0.2</v>
      </c>
      <c r="C5" s="64" t="n">
        <v>255.6</v>
      </c>
      <c r="D5" s="74" t="n">
        <v>3776.045256</v>
      </c>
      <c r="E5" s="74" t="n">
        <v>3841.415256</v>
      </c>
      <c r="F5" s="90" t="n">
        <v>28.5</v>
      </c>
      <c r="G5" s="74" t="n">
        <v>302083.62048</v>
      </c>
    </row>
    <row r="6">
      <c r="A6" s="55" t="inlineStr">
        <is>
          <t>Typical strategic</t>
        </is>
      </c>
      <c r="B6" s="97" t="n">
        <v>0.3</v>
      </c>
      <c r="C6" s="64" t="n">
        <v>276.9</v>
      </c>
      <c r="D6" s="74" t="n">
        <v>4090.715694</v>
      </c>
      <c r="E6" s="74" t="n">
        <v>4156.085694</v>
      </c>
      <c r="F6" s="90" t="n">
        <v>30.9</v>
      </c>
      <c r="G6" s="74" t="n">
        <v>327257.25552</v>
      </c>
    </row>
    <row r="7">
      <c r="A7" s="55" t="inlineStr">
        <is>
          <t>Competitive process</t>
        </is>
      </c>
      <c r="B7" s="97" t="n">
        <v>0.4</v>
      </c>
      <c r="C7" s="64" t="n">
        <v>298.2</v>
      </c>
      <c r="D7" s="74" t="n">
        <v>4405.386132</v>
      </c>
      <c r="E7" s="74" t="n">
        <v>4470.756132</v>
      </c>
      <c r="F7" s="90" t="n">
        <v>33.2</v>
      </c>
      <c r="G7" s="74" t="n">
        <v>352430.89056</v>
      </c>
    </row>
    <row r="8">
      <c r="A8" s="55" t="inlineStr">
        <is>
          <t>Must-have asset</t>
        </is>
      </c>
      <c r="B8" s="97" t="n">
        <v>0.5</v>
      </c>
      <c r="C8" s="64" t="n">
        <v>319.5</v>
      </c>
      <c r="D8" s="74" t="n">
        <v>4720.05657</v>
      </c>
      <c r="E8" s="74" t="n">
        <v>4785.42657</v>
      </c>
      <c r="F8" s="90" t="n">
        <v>35.5</v>
      </c>
      <c r="G8" s="74" t="n">
        <v>377604.5256</v>
      </c>
    </row>
    <row r="9"/>
    <row r="10"/>
    <row r="11">
      <c r="A11" s="63" t="inlineStr">
        <is>
          <t>DCF-BASED STRATEGIC VALUE</t>
        </is>
      </c>
    </row>
    <row r="12">
      <c r="A12" s="78" t="inlineStr">
        <is>
          <t>DCF Intrinsic Value / Share</t>
        </is>
      </c>
      <c r="B12" s="192" t="n">
        <v>213</v>
      </c>
    </row>
    <row r="13">
      <c r="A13" s="78" t="inlineStr">
        <is>
          <t>Typical M&amp;A Premium (25%)</t>
        </is>
      </c>
      <c r="B13" s="192" t="n">
        <v>53.25</v>
      </c>
    </row>
    <row r="14">
      <c r="A14" s="78" t="inlineStr">
        <is>
          <t>Strategic Value / Share (DCF + 25%)</t>
        </is>
      </c>
      <c r="B14" s="192" t="n">
        <v>262.03</v>
      </c>
    </row>
    <row r="15">
      <c r="A15" s="78" t="inlineStr">
        <is>
          <t>Strategic Equity Value ($B)</t>
        </is>
      </c>
      <c r="B15" s="177" t="n">
        <v>3871.01521984</v>
      </c>
    </row>
    <row r="16"/>
    <row r="17">
      <c r="A17" s="133" t="inlineStr">
        <is>
          <t>⚠ Synergies estimated at 8% of equity value -- adjust for deal-specific cost/revenue synergies</t>
        </is>
      </c>
    </row>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F3"/>
    <mergeCell ref="A11:F11"/>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6.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24" customWidth="1" min="1" max="1"/>
    <col width="14" customWidth="1" min="2" max="2"/>
    <col width="12" customWidth="1" min="3" max="3"/>
    <col width="32" customWidth="1" min="4" max="4"/>
    <col width="38" customWidth="1" min="5" max="5"/>
  </cols>
  <sheetData>
    <row r="1" ht="32" customHeight="1">
      <c r="A1" s="21" t="inlineStr">
        <is>
          <t xml:space="preserve">   — ESG Scorecard    |    Environmental, Social &amp; Governance pillar assessment</t>
        </is>
      </c>
    </row>
    <row r="2"/>
    <row r="3">
      <c r="A3" s="193" t="inlineStr">
        <is>
          <t xml:space="preserve">  ESG COMPOSITE SCORE: 6.7 / 10   Grade: B</t>
        </is>
      </c>
    </row>
    <row r="4"/>
    <row r="5">
      <c r="A5" s="76" t="inlineStr">
        <is>
          <t>ESG PILLAR SCORES</t>
        </is>
      </c>
    </row>
    <row r="6">
      <c r="A6" s="23" t="inlineStr">
        <is>
          <t>Pillar</t>
        </is>
      </c>
      <c r="B6" s="23" t="inlineStr">
        <is>
          <t>Score /10</t>
        </is>
      </c>
      <c r="C6" s="23" t="inlineStr">
        <is>
          <t>Grade</t>
        </is>
      </c>
      <c r="D6" s="23" t="inlineStr">
        <is>
          <t>Sector Context</t>
        </is>
      </c>
      <c r="E6" s="23" t="inlineStr">
        <is>
          <t>Key Factors</t>
        </is>
      </c>
    </row>
    <row r="7" ht="22" customHeight="1">
      <c r="A7" s="77" t="inlineStr">
        <is>
          <t>Environmental (E)</t>
        </is>
      </c>
      <c r="B7" s="194" t="n">
        <v>7</v>
      </c>
      <c r="C7" s="195" t="inlineStr">
        <is>
          <t>B</t>
        </is>
      </c>
      <c r="D7" s="78" t="inlineStr">
        <is>
          <t>Carbon emissions, water usage, waste management</t>
        </is>
      </c>
      <c r="E7" s="112" t="inlineStr">
        <is>
          <t>Climate risk exposure, renewable energy transition</t>
        </is>
      </c>
    </row>
    <row r="8" ht="22" customHeight="1">
      <c r="A8" s="77" t="inlineStr">
        <is>
          <t>Social (S)</t>
        </is>
      </c>
      <c r="B8" s="196" t="n">
        <v>6</v>
      </c>
      <c r="C8" s="197" t="inlineStr">
        <is>
          <t>B</t>
        </is>
      </c>
      <c r="D8" s="78" t="inlineStr">
        <is>
          <t>Employee welfare, diversity, community impact</t>
        </is>
      </c>
      <c r="E8" s="112" t="inlineStr">
        <is>
          <t>Workforce practices, supply chain ethics, customer privacy</t>
        </is>
      </c>
    </row>
    <row r="9" ht="22" customHeight="1">
      <c r="A9" s="77" t="inlineStr">
        <is>
          <t>Governance (G)</t>
        </is>
      </c>
      <c r="B9" s="194" t="n">
        <v>7</v>
      </c>
      <c r="C9" s="195" t="inlineStr">
        <is>
          <t>B</t>
        </is>
      </c>
      <c r="D9" s="78" t="inlineStr">
        <is>
          <t>Board independence, exec comp, shareholder rights</t>
        </is>
      </c>
      <c r="E9" s="112" t="inlineStr">
        <is>
          <t>Audit quality, anti-corruption, capital allocation discipline</t>
        </is>
      </c>
    </row>
    <row r="10"/>
    <row r="11"/>
    <row r="12">
      <c r="A12" s="63" t="inlineStr">
        <is>
          <t>RISK FLAGS &amp; RECOMMENDATIONS</t>
        </is>
      </c>
    </row>
    <row r="13"/>
    <row r="14">
      <c r="A14" s="133" t="inlineStr">
        <is>
          <t>⚠ ESG scores estimated from sector norms -- replace with MSCI/Sustainalytics data for institutional use</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5">
    <mergeCell ref="A14:F14"/>
    <mergeCell ref="A5:F5"/>
    <mergeCell ref="A1:L1"/>
    <mergeCell ref="A12:F12"/>
    <mergeCell ref="A3:F3"/>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27.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24" customWidth="1" min="1" max="1"/>
    <col width="46" customWidth="1" min="2" max="2"/>
    <col width="16" customWidth="1" min="3" max="3"/>
    <col width="14" customWidth="1" min="4" max="4"/>
    <col width="12" customWidth="1" min="5" max="5"/>
    <col width="12" customWidth="1" min="6" max="6"/>
    <col width="42" customWidth="1" min="7" max="7"/>
  </cols>
  <sheetData>
    <row r="1" ht="32" customHeight="1">
      <c r="A1" s="21" t="inlineStr">
        <is>
          <t xml:space="preserve">   — Risk Register    |    Likelihood × Impact scoring matrix with mitigants</t>
        </is>
      </c>
    </row>
    <row r="2"/>
    <row r="3">
      <c r="A3" s="23" t="inlineStr">
        <is>
          <t>Risk Category</t>
        </is>
      </c>
      <c r="B3" s="23" t="inlineStr">
        <is>
          <t>Description</t>
        </is>
      </c>
      <c r="C3" s="23" t="inlineStr">
        <is>
          <t>Likelihood (1-5)</t>
        </is>
      </c>
      <c r="D3" s="23" t="inlineStr">
        <is>
          <t>Impact (1-5)</t>
        </is>
      </c>
      <c r="E3" s="23" t="inlineStr">
        <is>
          <t>Risk Score</t>
        </is>
      </c>
      <c r="F3" s="23" t="inlineStr">
        <is>
          <t>Rating</t>
        </is>
      </c>
      <c r="G3" s="23" t="inlineStr">
        <is>
          <t>Mitigation Strategy</t>
        </is>
      </c>
    </row>
    <row r="4" ht="30" customHeight="1">
      <c r="A4" s="55" t="inlineStr">
        <is>
          <t>Company-Specific</t>
        </is>
      </c>
      <c r="B4" s="198" t="inlineStr">
        <is>
          <t>China revenue concentration (~18% of total)</t>
        </is>
      </c>
      <c r="C4" s="57" t="n">
        <v>3</v>
      </c>
      <c r="D4" s="57" t="n">
        <v>5</v>
      </c>
      <c r="E4" s="199" t="n">
        <v>15</v>
      </c>
      <c r="F4" s="199" t="inlineStr">
        <is>
          <t>CRITICAL</t>
        </is>
      </c>
      <c r="G4" s="198" t="inlineStr">
        <is>
          <t>India expansion accelerating</t>
        </is>
      </c>
    </row>
    <row r="5" ht="30" customHeight="1">
      <c r="A5" s="58" t="inlineStr">
        <is>
          <t>Company-Specific</t>
        </is>
      </c>
      <c r="B5" s="200" t="inlineStr">
        <is>
          <t>iPhone upgrade cycle elongation</t>
        </is>
      </c>
      <c r="C5" s="59" t="n">
        <v>3</v>
      </c>
      <c r="D5" s="59" t="n">
        <v>5</v>
      </c>
      <c r="E5" s="199" t="n">
        <v>15</v>
      </c>
      <c r="F5" s="199" t="inlineStr">
        <is>
          <t>CRITICAL</t>
        </is>
      </c>
      <c r="G5" s="200" t="inlineStr">
        <is>
          <t>Services growing to 25%+ of revenue</t>
        </is>
      </c>
    </row>
    <row r="6" ht="30" customHeight="1">
      <c r="A6" s="55" t="inlineStr">
        <is>
          <t>Company-Specific</t>
        </is>
      </c>
      <c r="B6" s="198" t="inlineStr">
        <is>
          <t>EU Digital Markets Act - App Store fee pressure</t>
        </is>
      </c>
      <c r="C6" s="57" t="n">
        <v>4</v>
      </c>
      <c r="D6" s="57" t="n">
        <v>3</v>
      </c>
      <c r="E6" s="199" t="n">
        <v>12</v>
      </c>
      <c r="F6" s="199" t="inlineStr">
        <is>
          <t>HIGH</t>
        </is>
      </c>
      <c r="G6" s="198" t="inlineStr">
        <is>
          <t>Alternative payment rails in testing</t>
        </is>
      </c>
    </row>
    <row r="7" ht="30" customHeight="1">
      <c r="A7" s="58" t="inlineStr">
        <is>
          <t>Platform / API Risk</t>
        </is>
      </c>
      <c r="B7" s="200" t="inlineStr">
        <is>
          <t>Dependency on third-party platforms (Apple, Google, AWS) creates concentration risk</t>
        </is>
      </c>
      <c r="C7" s="59" t="n">
        <v>3</v>
      </c>
      <c r="D7" s="59" t="n">
        <v>4</v>
      </c>
      <c r="E7" s="199" t="n">
        <v>12</v>
      </c>
      <c r="F7" s="199" t="inlineStr">
        <is>
          <t>HIGH</t>
        </is>
      </c>
      <c r="G7" s="200" t="inlineStr">
        <is>
          <t>Multi-platform strategy; own distribution channels</t>
        </is>
      </c>
    </row>
    <row r="8" ht="30" customHeight="1">
      <c r="A8" s="55" t="inlineStr">
        <is>
          <t>Talent War</t>
        </is>
      </c>
      <c r="B8" s="198" t="inlineStr">
        <is>
          <t>Engineering talent shortage drives up comp costs and slows product velocity</t>
        </is>
      </c>
      <c r="C8" s="57" t="n">
        <v>4</v>
      </c>
      <c r="D8" s="57" t="n">
        <v>3</v>
      </c>
      <c r="E8" s="199" t="n">
        <v>12</v>
      </c>
      <c r="F8" s="199" t="inlineStr">
        <is>
          <t>HIGH</t>
        </is>
      </c>
      <c r="G8" s="198" t="inlineStr">
        <is>
          <t>Competitive equity packages; remote-first culture; university pipeline</t>
        </is>
      </c>
    </row>
    <row r="9" ht="30" customHeight="1">
      <c r="A9" s="58" t="inlineStr">
        <is>
          <t>AI Disruption</t>
        </is>
      </c>
      <c r="B9" s="200" t="inlineStr">
        <is>
          <t>Generative AI commoditises core product features faster than anticipated</t>
        </is>
      </c>
      <c r="C9" s="59" t="n">
        <v>3</v>
      </c>
      <c r="D9" s="59" t="n">
        <v>4</v>
      </c>
      <c r="E9" s="199" t="n">
        <v>12</v>
      </c>
      <c r="F9" s="199" t="inlineStr">
        <is>
          <t>HIGH</t>
        </is>
      </c>
      <c r="G9" s="200" t="inlineStr">
        <is>
          <t>Invest in proprietary AI capabilities; acquire AI-native startups</t>
        </is>
      </c>
    </row>
    <row r="10" ht="30" customHeight="1">
      <c r="A10" s="55" t="inlineStr">
        <is>
          <t>Market / Macro</t>
        </is>
      </c>
      <c r="B10" s="198" t="inlineStr">
        <is>
          <t>Economic downturn reduces demand and compresses multiples</t>
        </is>
      </c>
      <c r="C10" s="57" t="n">
        <v>3</v>
      </c>
      <c r="D10" s="57" t="n">
        <v>4</v>
      </c>
      <c r="E10" s="199" t="n">
        <v>12</v>
      </c>
      <c r="F10" s="199" t="inlineStr">
        <is>
          <t>HIGH</t>
        </is>
      </c>
      <c r="G10" s="198" t="inlineStr">
        <is>
          <t>Diversify revenue streams; maintain strong balance sheet</t>
        </is>
      </c>
    </row>
    <row r="11" ht="30" customHeight="1">
      <c r="A11" s="58" t="inlineStr">
        <is>
          <t>Competitive Intensity</t>
        </is>
      </c>
      <c r="B11" s="200" t="inlineStr">
        <is>
          <t>New entrants or existing peers accelerate product / pricing pressure</t>
        </is>
      </c>
      <c r="C11" s="59" t="n">
        <v>3</v>
      </c>
      <c r="D11" s="59" t="n">
        <v>4</v>
      </c>
      <c r="E11" s="199" t="n">
        <v>12</v>
      </c>
      <c r="F11" s="199" t="inlineStr">
        <is>
          <t>HIGH</t>
        </is>
      </c>
      <c r="G11" s="200" t="inlineStr">
        <is>
          <t>Invest in R&amp;D moat; deepen customer switching costs</t>
        </is>
      </c>
    </row>
    <row r="12" ht="30" customHeight="1">
      <c r="A12" s="55" t="inlineStr">
        <is>
          <t>Company-Specific</t>
        </is>
      </c>
      <c r="B12" s="198" t="inlineStr">
        <is>
          <t>WACC expansion if Fed raises rates</t>
        </is>
      </c>
      <c r="C12" s="57" t="n">
        <v>2</v>
      </c>
      <c r="D12" s="57" t="n">
        <v>5</v>
      </c>
      <c r="E12" s="201" t="n">
        <v>10</v>
      </c>
      <c r="F12" s="201" t="inlineStr">
        <is>
          <t>HIGH</t>
        </is>
      </c>
      <c r="G12" s="198" t="inlineStr">
        <is>
          <t>Strong FCF shields from credit market risk</t>
        </is>
      </c>
    </row>
    <row r="13" ht="30" customHeight="1">
      <c r="A13" s="58" t="inlineStr">
        <is>
          <t>Key Person Dependency</t>
        </is>
      </c>
      <c r="B13" s="200" t="inlineStr">
        <is>
          <t>Loss of founder or critical executives disrupts strategy</t>
        </is>
      </c>
      <c r="C13" s="59" t="n">
        <v>2</v>
      </c>
      <c r="D13" s="59" t="n">
        <v>5</v>
      </c>
      <c r="E13" s="201" t="n">
        <v>10</v>
      </c>
      <c r="F13" s="201" t="inlineStr">
        <is>
          <t>HIGH</t>
        </is>
      </c>
      <c r="G13" s="200" t="inlineStr">
        <is>
          <t>Succession planning; key-man insurance; equity retention</t>
        </is>
      </c>
    </row>
    <row r="14" ht="30" customHeight="1">
      <c r="A14" s="55" t="inlineStr">
        <is>
          <t>Company-Specific</t>
        </is>
      </c>
      <c r="B14" s="198" t="inlineStr">
        <is>
          <t>AI commoditization - Siri falling behind</t>
        </is>
      </c>
      <c r="C14" s="57" t="n">
        <v>3</v>
      </c>
      <c r="D14" s="57" t="n">
        <v>3</v>
      </c>
      <c r="E14" s="201" t="n">
        <v>9</v>
      </c>
      <c r="F14" s="201" t="inlineStr">
        <is>
          <t>MEDIUM</t>
        </is>
      </c>
      <c r="G14" s="198" t="inlineStr">
        <is>
          <t>Apple Intelligence on-device AI focus</t>
        </is>
      </c>
    </row>
    <row r="15" ht="30" customHeight="1">
      <c r="A15" s="58" t="inlineStr">
        <is>
          <t>Regulatory / Compliance</t>
        </is>
      </c>
      <c r="B15" s="200" t="inlineStr">
        <is>
          <t>New regulations increase compliance costs or restrict operations</t>
        </is>
      </c>
      <c r="C15" s="59" t="n">
        <v>3</v>
      </c>
      <c r="D15" s="59" t="n">
        <v>3</v>
      </c>
      <c r="E15" s="201" t="n">
        <v>9</v>
      </c>
      <c r="F15" s="201" t="inlineStr">
        <is>
          <t>MEDIUM</t>
        </is>
      </c>
      <c r="G15" s="200" t="inlineStr">
        <is>
          <t>Proactive engagement with regulators; compliance team</t>
        </is>
      </c>
    </row>
    <row r="16" ht="30" customHeight="1">
      <c r="A16" s="55" t="inlineStr">
        <is>
          <t>Execution Risk</t>
        </is>
      </c>
      <c r="B16" s="198" t="inlineStr">
        <is>
          <t>Failure to execute on product roadmap or international expansion</t>
        </is>
      </c>
      <c r="C16" s="57" t="n">
        <v>3</v>
      </c>
      <c r="D16" s="57" t="n">
        <v>3</v>
      </c>
      <c r="E16" s="201" t="n">
        <v>9</v>
      </c>
      <c r="F16" s="201" t="inlineStr">
        <is>
          <t>MEDIUM</t>
        </is>
      </c>
      <c r="G16" s="198" t="inlineStr">
        <is>
          <t>Milestone-based capital allocation; experienced leadership team</t>
        </is>
      </c>
    </row>
    <row r="17" ht="30" customHeight="1">
      <c r="A17" s="58" t="inlineStr">
        <is>
          <t>Cybersecurity / Data</t>
        </is>
      </c>
      <c r="B17" s="200" t="inlineStr">
        <is>
          <t>Breach or ransomware disrupts operations and erodes trust</t>
        </is>
      </c>
      <c r="C17" s="59" t="n">
        <v>2</v>
      </c>
      <c r="D17" s="59" t="n">
        <v>4</v>
      </c>
      <c r="E17" s="201" t="n">
        <v>8</v>
      </c>
      <c r="F17" s="201" t="inlineStr">
        <is>
          <t>MEDIUM</t>
        </is>
      </c>
      <c r="G17" s="200" t="inlineStr">
        <is>
          <t>SOC 2 certification; incident response plan; cyber insurance</t>
        </is>
      </c>
    </row>
    <row r="18" ht="30" customHeight="1">
      <c r="A18" s="55" t="inlineStr">
        <is>
          <t>Capital Markets Access</t>
        </is>
      </c>
      <c r="B18" s="198" t="inlineStr">
        <is>
          <t>Inability to raise debt/equity on favorable terms limits growth</t>
        </is>
      </c>
      <c r="C18" s="57" t="n">
        <v>2</v>
      </c>
      <c r="D18" s="57" t="n">
        <v>4</v>
      </c>
      <c r="E18" s="201" t="n">
        <v>8</v>
      </c>
      <c r="F18" s="201" t="inlineStr">
        <is>
          <t>MEDIUM</t>
        </is>
      </c>
      <c r="G18" s="198" t="inlineStr">
        <is>
          <t>Diversify revenue streams; maintain strong balance sheet</t>
        </is>
      </c>
    </row>
    <row r="19" ht="30" customHeight="1">
      <c r="A19" s="58" t="inlineStr">
        <is>
          <t>FX / Geopolitical</t>
        </is>
      </c>
      <c r="B19" s="200" t="inlineStr">
        <is>
          <t>Currency volatility or geopolitical disruption affects international revenue</t>
        </is>
      </c>
      <c r="C19" s="59" t="n">
        <v>2</v>
      </c>
      <c r="D19" s="59" t="n">
        <v>3</v>
      </c>
      <c r="E19" s="202" t="n">
        <v>6</v>
      </c>
      <c r="F19" s="202" t="inlineStr">
        <is>
          <t>MEDIUM</t>
        </is>
      </c>
      <c r="G19" s="200" t="inlineStr">
        <is>
          <t>Natural hedging; forward contracts; geographic diversification</t>
        </is>
      </c>
    </row>
    <row r="20"/>
    <row r="21"/>
    <row r="22">
      <c r="A22" s="76" t="inlineStr">
        <is>
          <t>RISK HEAT MAP SUMMARY</t>
        </is>
      </c>
    </row>
    <row r="23">
      <c r="A23" s="203" t="inlineStr">
        <is>
          <t>Impact →</t>
        </is>
      </c>
      <c r="B23" s="204" t="n">
        <v>1</v>
      </c>
      <c r="C23" s="204" t="n">
        <v>2</v>
      </c>
      <c r="D23" s="204" t="n">
        <v>3</v>
      </c>
      <c r="E23" s="204" t="n">
        <v>4</v>
      </c>
      <c r="F23" s="204" t="n">
        <v>5</v>
      </c>
    </row>
    <row r="24">
      <c r="A24" s="204" t="n">
        <v>5</v>
      </c>
      <c r="B24" s="204" t="n">
        <v>5</v>
      </c>
      <c r="C24" s="204" t="n">
        <v>10</v>
      </c>
      <c r="D24" s="205" t="n">
        <v>15</v>
      </c>
      <c r="E24" s="205" t="n">
        <v>20</v>
      </c>
      <c r="F24" s="205" t="n">
        <v>25</v>
      </c>
    </row>
    <row r="25">
      <c r="A25" s="204" t="n">
        <v>4</v>
      </c>
      <c r="B25" s="204" t="n">
        <v>4</v>
      </c>
      <c r="C25" s="204" t="n">
        <v>8</v>
      </c>
      <c r="D25" s="204" t="n">
        <v>12</v>
      </c>
      <c r="E25" s="205" t="n">
        <v>16</v>
      </c>
      <c r="F25" s="205" t="n">
        <v>20</v>
      </c>
    </row>
    <row r="26">
      <c r="A26" s="204" t="n">
        <v>3</v>
      </c>
      <c r="B26" s="206" t="n">
        <v>3</v>
      </c>
      <c r="C26" s="204" t="n">
        <v>6</v>
      </c>
      <c r="D26" s="204" t="n">
        <v>9</v>
      </c>
      <c r="E26" s="204" t="n">
        <v>12</v>
      </c>
      <c r="F26" s="205" t="n">
        <v>15</v>
      </c>
    </row>
    <row r="27">
      <c r="A27" s="204" t="n">
        <v>2</v>
      </c>
      <c r="B27" s="206" t="n">
        <v>2</v>
      </c>
      <c r="C27" s="204" t="n">
        <v>4</v>
      </c>
      <c r="D27" s="204" t="n">
        <v>6</v>
      </c>
      <c r="E27" s="204" t="n">
        <v>8</v>
      </c>
      <c r="F27" s="204" t="n">
        <v>10</v>
      </c>
    </row>
    <row r="28">
      <c r="A28" s="204" t="n">
        <v>1</v>
      </c>
      <c r="B28" s="206" t="n">
        <v>1</v>
      </c>
      <c r="C28" s="206" t="n">
        <v>2</v>
      </c>
      <c r="D28" s="206" t="n">
        <v>3</v>
      </c>
      <c r="E28" s="204" t="n">
        <v>4</v>
      </c>
      <c r="F28" s="204" t="n">
        <v>5</v>
      </c>
    </row>
    <row r="29">
      <c r="A29" s="203" t="inlineStr">
        <is>
          <t>← Likelihood</t>
        </is>
      </c>
    </row>
    <row r="30"/>
    <row r="31"/>
    <row r="32"/>
    <row r="33"/>
    <row r="34"/>
    <row r="35"/>
    <row r="36"/>
    <row r="37"/>
    <row r="38"/>
    <row r="39"/>
    <row r="40"/>
    <row r="41"/>
    <row r="42"/>
    <row r="43"/>
    <row r="44"/>
    <row r="45"/>
    <row r="46"/>
    <row r="47"/>
    <row r="48"/>
    <row r="49"/>
    <row r="50"/>
  </sheetData>
  <mergeCells count="2">
    <mergeCell ref="A1:L1"/>
    <mergeCell ref="A22:C22"/>
  </mergeCells>
  <conditionalFormatting sqref="E4:E19">
    <cfRule type="colorScale" priority="1">
      <colorScale>
        <cfvo type="num" val="1"/>
        <cfvo type="num" val="10"/>
        <cfvo type="num" val="25"/>
        <color rgb="00375623"/>
        <color rgb="00FF8C00"/>
        <color rgb="00C41E3A"/>
      </colorScale>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tableParts count="1">
    <tablePart xmlns:r="http://schemas.openxmlformats.org/officeDocument/2006/relationships" r:id="rId1"/>
  </tableParts>
</worksheet>
</file>

<file path=xl/worksheets/sheet28.xml><?xml version="1.0" encoding="utf-8"?>
<worksheet xmlns="http://schemas.openxmlformats.org/spreadsheetml/2006/main">
  <sheetPr>
    <tabColor rgb="000071E3"/>
    <outlinePr summaryBelow="1" summaryRight="1"/>
    <pageSetUpPr fitToPage="1"/>
  </sheetPr>
  <dimension ref="A1:L50"/>
  <sheetViews>
    <sheetView showGridLines="0" workbookViewId="0">
      <pane ySplit="2" topLeftCell="A3" activePane="bottomLeft" state="frozen"/>
      <selection pane="bottomLeft" activeCell="A1" sqref="A1"/>
    </sheetView>
  </sheetViews>
  <sheetFormatPr baseColWidth="8" defaultRowHeight="15"/>
  <cols>
    <col width="30" customWidth="1" min="1" max="1"/>
    <col width="18" customWidth="1" min="2" max="2"/>
    <col width="20" customWidth="1" min="3" max="3"/>
    <col width="44" customWidth="1" min="4" max="4"/>
  </cols>
  <sheetData>
    <row r="1" ht="32" customHeight="1">
      <c r="A1" s="21" t="inlineStr">
        <is>
          <t xml:space="preserve">   — Ownership Structure    |    Cap table, institutional holders, insider ownership</t>
        </is>
      </c>
    </row>
    <row r="2"/>
    <row r="3">
      <c r="A3" s="76" t="inlineStr">
        <is>
          <t>OWNERSHIP BREAKDOWN</t>
        </is>
      </c>
      <c r="G3" t="inlineStr">
        <is>
          <t>Holder</t>
        </is>
      </c>
      <c r="H3" t="inlineStr">
        <is>
          <t>Pct</t>
        </is>
      </c>
    </row>
    <row r="4">
      <c r="A4" s="23" t="inlineStr">
        <is>
          <t>Holder Category</t>
        </is>
      </c>
      <c r="B4" s="23" t="inlineStr">
        <is>
          <t>Ownership %</t>
        </is>
      </c>
      <c r="C4" s="23" t="inlineStr">
        <is>
          <t>Est. Value ($B)</t>
        </is>
      </c>
      <c r="D4" s="23" t="inlineStr">
        <is>
          <t>Top Holders / Notes</t>
        </is>
      </c>
      <c r="G4" t="inlineStr">
        <is>
          <t>Institutional Investors</t>
        </is>
      </c>
      <c r="H4" t="n">
        <v>0.6</v>
      </c>
    </row>
    <row r="5">
      <c r="A5" s="55" t="inlineStr">
        <is>
          <t>Institutional Investors</t>
        </is>
      </c>
      <c r="B5" s="73" t="n">
        <v>0.6</v>
      </c>
      <c r="C5" s="74" t="n">
        <v>1944</v>
      </c>
      <c r="D5" s="55" t="inlineStr">
        <is>
          <t>BlackRock, Vanguard, State Street, Fidelity</t>
        </is>
      </c>
      <c r="G5" t="inlineStr">
        <is>
          <t>Retail / Public Float</t>
        </is>
      </c>
      <c r="H5" t="n">
        <v>0.2</v>
      </c>
    </row>
    <row r="6">
      <c r="A6" s="58" t="inlineStr">
        <is>
          <t>Retail / Public Float</t>
        </is>
      </c>
      <c r="B6" s="92" t="n">
        <v>0.2</v>
      </c>
      <c r="C6" s="81" t="n">
        <v>648</v>
      </c>
      <c r="D6" s="58" t="inlineStr">
        <is>
          <t>Individual investors via brokerage</t>
        </is>
      </c>
      <c r="G6" t="inlineStr">
        <is>
          <t>Insiders &amp; Management</t>
        </is>
      </c>
      <c r="H6" t="n">
        <v>0.12</v>
      </c>
    </row>
    <row r="7">
      <c r="A7" s="55" t="inlineStr">
        <is>
          <t>Insiders &amp; Management</t>
        </is>
      </c>
      <c r="B7" s="73" t="n">
        <v>0.12</v>
      </c>
      <c r="C7" s="74" t="n">
        <v>388.8</v>
      </c>
      <c r="D7" s="55" t="inlineStr">
        <is>
          <t>Founders, executives, board members</t>
        </is>
      </c>
      <c r="G7" t="inlineStr">
        <is>
          <t>Index Funds (passive)</t>
        </is>
      </c>
      <c r="H7" t="n">
        <v>0.05</v>
      </c>
    </row>
    <row r="8">
      <c r="A8" s="58" t="inlineStr">
        <is>
          <t>Index Funds (passive)</t>
        </is>
      </c>
      <c r="B8" s="92" t="n">
        <v>0.05</v>
      </c>
      <c r="C8" s="81" t="n">
        <v>162</v>
      </c>
      <c r="D8" s="58" t="inlineStr">
        <is>
          <t>S&amp;P 500 / Russell inclusion tracking</t>
        </is>
      </c>
      <c r="G8" t="inlineStr">
        <is>
          <t>Other / Treasury</t>
        </is>
      </c>
      <c r="H8" t="n">
        <v>0.03</v>
      </c>
    </row>
    <row r="9">
      <c r="A9" s="55" t="inlineStr">
        <is>
          <t>Other / Treasury</t>
        </is>
      </c>
      <c r="B9" s="73" t="n">
        <v>0.03</v>
      </c>
      <c r="C9" s="74" t="n">
        <v>97.2</v>
      </c>
      <c r="D9" s="55" t="inlineStr">
        <is>
          <t>Employee stock plans, treasury shares</t>
        </is>
      </c>
    </row>
    <row r="10"/>
    <row r="11"/>
    <row r="12">
      <c r="A12" s="63" t="inlineStr">
        <is>
          <t>OWNERSHIP SIGNALS</t>
        </is>
      </c>
    </row>
    <row r="13">
      <c r="A13" s="207" t="inlineStr">
        <is>
          <t xml:space="preserve">  ▶  MODERATE insider ownership -- aligned incentives</t>
        </is>
      </c>
    </row>
    <row r="14"/>
    <row r="15">
      <c r="A15" s="23" t="inlineStr">
        <is>
          <t>Metric</t>
        </is>
      </c>
      <c r="B15" s="23" t="inlineStr">
        <is>
          <t>Value</t>
        </is>
      </c>
      <c r="C15" s="23" t="inlineStr">
        <is>
          <t>Note</t>
        </is>
      </c>
    </row>
    <row r="16">
      <c r="A16" s="78" t="inlineStr">
        <is>
          <t>Insider Ownership %</t>
        </is>
      </c>
      <c r="B16" s="208" t="n">
        <v>0.12</v>
      </c>
      <c r="C16" s="112" t="inlineStr">
        <is>
          <t>% held by founders/management/directors</t>
        </is>
      </c>
    </row>
    <row r="17">
      <c r="A17" s="80" t="inlineStr">
        <is>
          <t>Public Float %</t>
        </is>
      </c>
      <c r="B17" s="178" t="n">
        <v>0.8</v>
      </c>
      <c r="C17" s="114" t="inlineStr">
        <is>
          <t>Available for open-market trading</t>
        </is>
      </c>
    </row>
    <row r="18">
      <c r="A18" s="78" t="inlineStr">
        <is>
          <t>Total Shares Outstanding (M)</t>
        </is>
      </c>
      <c r="B18" s="209" t="n">
        <v>14773.26</v>
      </c>
      <c r="C18" s="112" t="inlineStr">
        <is>
          <t>Basic share count</t>
        </is>
      </c>
    </row>
    <row r="19">
      <c r="A19" s="80" t="inlineStr">
        <is>
          <t>Market Capitalisation ($B)</t>
        </is>
      </c>
      <c r="B19" s="177" t="n">
        <v>3240</v>
      </c>
      <c r="C19" s="114" t="inlineStr">
        <is>
          <t>At current market price</t>
        </is>
      </c>
    </row>
    <row r="20"/>
    <row r="21">
      <c r="A21" s="133" t="inlineStr">
        <is>
          <t>⚠ Estimated ownership -- verify with SEC 13F filings (public) or cap table (private)</t>
        </is>
      </c>
    </row>
    <row r="22"/>
    <row r="23"/>
    <row r="24"/>
    <row r="25"/>
    <row r="26"/>
    <row r="27"/>
    <row r="28"/>
    <row r="29"/>
    <row r="30"/>
    <row r="31"/>
    <row r="32"/>
    <row r="33"/>
    <row r="34"/>
    <row r="35"/>
    <row r="36"/>
    <row r="37"/>
    <row r="38"/>
    <row r="39"/>
    <row r="40"/>
    <row r="41"/>
    <row r="42"/>
    <row r="43"/>
    <row r="44"/>
    <row r="45"/>
    <row r="46"/>
    <row r="47"/>
    <row r="48"/>
    <row r="49"/>
    <row r="50"/>
  </sheetData>
  <mergeCells count="4">
    <mergeCell ref="A12:E12"/>
    <mergeCell ref="A1:L1"/>
    <mergeCell ref="A13:E13"/>
    <mergeCell ref="A3:E3"/>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worksheet>
</file>

<file path=xl/worksheets/sheet29.xml><?xml version="1.0" encoding="utf-8"?>
<worksheet xmlns="http://schemas.openxmlformats.org/spreadsheetml/2006/main">
  <sheetPr>
    <tabColor rgb="000071E3"/>
    <outlinePr summaryBelow="1" summaryRight="1"/>
    <pageSetUpPr fitToPage="1"/>
  </sheetPr>
  <dimension ref="A1:S45"/>
  <sheetViews>
    <sheetView showGridLines="0" workbookViewId="0">
      <pane ySplit="2" topLeftCell="A3" activePane="bottomLeft" state="frozen"/>
      <selection pane="bottomLeft" activeCell="A1" sqref="A1"/>
    </sheetView>
  </sheetViews>
  <sheetFormatPr baseColWidth="8" defaultRowHeight="15"/>
  <cols>
    <col width="36" customWidth="1" min="1" max="1"/>
    <col width="20" customWidth="1" min="2" max="2"/>
    <col width="18" customWidth="1" min="3" max="3"/>
    <col width="42" customWidth="1" min="4" max="4"/>
  </cols>
  <sheetData>
    <row r="1" ht="32" customHeight="1">
      <c r="A1" s="21" t="inlineStr">
        <is>
          <t xml:space="preserve">   — Model Assumptions &amp; Controls    |    v8 Live Formula Engine — edit yellow cells to recalculate entire model</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 xml:space="preserve">  DCF CORE ASSUMPTIONS  ★  Edit yellow cells to update model</t>
        </is>
      </c>
    </row>
    <row r="4">
      <c r="A4" s="23" t="inlineStr">
        <is>
          <t>Parameter</t>
        </is>
      </c>
      <c r="B4" s="23" t="inlineStr">
        <is>
          <t>Value  ← EDIT</t>
        </is>
      </c>
      <c r="C4" s="23" t="inlineStr">
        <is>
          <t>Guidance</t>
        </is>
      </c>
      <c r="D4" s="23" t="inlineStr">
        <is>
          <t>Commentary</t>
        </is>
      </c>
    </row>
    <row r="5">
      <c r="A5" s="58" t="inlineStr">
        <is>
          <t>WACC (Weighted Avg. Cost of Capital)</t>
        </is>
      </c>
      <c r="B5" s="210" t="n">
        <v>0.082</v>
      </c>
      <c r="C5" s="114" t="inlineStr">
        <is>
          <t>8% – 14%</t>
        </is>
      </c>
      <c r="D5" s="211" t="inlineStr">
        <is>
          <t>Cost of equity + after-tax cost of debt, market-value weighted</t>
        </is>
      </c>
    </row>
    <row r="6">
      <c r="A6" s="55" t="inlineStr">
        <is>
          <t>Terminal Growth Rate</t>
        </is>
      </c>
      <c r="B6" s="210" t="n">
        <v>0.03</v>
      </c>
      <c r="C6" s="112" t="inlineStr">
        <is>
          <t>2% – 4%</t>
        </is>
      </c>
      <c r="D6" s="212" t="inlineStr">
        <is>
          <t>Long-run GDP-linked steady-state FCF growth beyond Year 5</t>
        </is>
      </c>
    </row>
    <row r="7">
      <c r="A7" s="58" t="inlineStr">
        <is>
          <t>Revenue Growth — Year 1-3 (Base)</t>
        </is>
      </c>
      <c r="B7" s="210" t="n">
        <v>0.075</v>
      </c>
      <c r="C7" s="114" t="inlineStr">
        <is>
          <t>5% – 50%</t>
        </is>
      </c>
      <c r="D7" s="211" t="inlineStr">
        <is>
          <t>Near-term CAGR; scaled by scenario multipliers below</t>
        </is>
      </c>
    </row>
    <row r="8">
      <c r="A8" s="55" t="inlineStr">
        <is>
          <t>Revenue Growth — Year 4-5 (Base)</t>
        </is>
      </c>
      <c r="B8" s="210" t="n">
        <v>0.06</v>
      </c>
      <c r="C8" s="112" t="inlineStr">
        <is>
          <t>3% – 20%</t>
        </is>
      </c>
      <c r="D8" s="212" t="inlineStr">
        <is>
          <t>Deceleration phase toward terminal growth</t>
        </is>
      </c>
    </row>
    <row r="9">
      <c r="A9" s="58" t="inlineStr">
        <is>
          <t>EBIT Margin (at maturity)</t>
        </is>
      </c>
      <c r="B9" s="210" t="n">
        <v>0.295</v>
      </c>
      <c r="C9" s="114" t="inlineStr">
        <is>
          <t>5% – 45%</t>
        </is>
      </c>
      <c r="D9" s="211" t="inlineStr">
        <is>
          <t>Steady-state operating margin; applied uniformly across projection</t>
        </is>
      </c>
    </row>
    <row r="10">
      <c r="A10" s="55" t="inlineStr">
        <is>
          <t>D&amp;A as % of Revenue</t>
        </is>
      </c>
      <c r="B10" s="210" t="n">
        <v>0.029</v>
      </c>
      <c r="C10" s="112" t="inlineStr">
        <is>
          <t>3% – 10%</t>
        </is>
      </c>
      <c r="D10" s="212" t="inlineStr">
        <is>
          <t>Depreciation &amp; amortisation as revenue share</t>
        </is>
      </c>
    </row>
    <row r="11">
      <c r="A11" s="58" t="inlineStr">
        <is>
          <t>CapEx as % of Revenue</t>
        </is>
      </c>
      <c r="B11" s="210" t="n">
        <v>0.024</v>
      </c>
      <c r="C11" s="114" t="inlineStr">
        <is>
          <t>3% – 25%</t>
        </is>
      </c>
      <c r="D11" s="211" t="inlineStr">
        <is>
          <t>Maintenance + growth capex intensity</t>
        </is>
      </c>
    </row>
    <row r="12">
      <c r="A12" s="55" t="inlineStr">
        <is>
          <t>Cash Tax Rate</t>
        </is>
      </c>
      <c r="B12" s="210" t="n">
        <v>0.151</v>
      </c>
      <c r="C12" s="112" t="inlineStr">
        <is>
          <t>15% – 28%</t>
        </is>
      </c>
      <c r="D12" s="212" t="inlineStr">
        <is>
          <t>Effective cash tax rate; lower than statutory due to deferred taxes</t>
        </is>
      </c>
    </row>
    <row r="13">
      <c r="A13" s="58" t="inlineStr">
        <is>
          <t>Δ Net Working Capital as % of Revenue</t>
        </is>
      </c>
      <c r="B13" s="210" t="n">
        <v>-0.08</v>
      </c>
      <c r="C13" s="114" t="inlineStr">
        <is>
          <t>0.5% – 3%</t>
        </is>
      </c>
      <c r="D13" s="211" t="inlineStr">
        <is>
          <t>Incremental NWC investment as business scales</t>
        </is>
      </c>
    </row>
    <row r="14" ht="20" customHeight="1">
      <c r="A14" s="213" t="inlineStr">
        <is>
          <t>BEAR  ▼</t>
        </is>
      </c>
      <c r="B14" s="214" t="inlineStr">
        <is>
          <t>BASE  ●</t>
        </is>
      </c>
      <c r="C14" s="215" t="inlineStr">
        <is>
          <t>BULL  ▲</t>
        </is>
      </c>
      <c r="D14" s="216" t="inlineStr">
        <is>
          <t>RESET ↺</t>
        </is>
      </c>
    </row>
    <row r="15">
      <c r="A15" s="217" t="inlineStr">
        <is>
          <t xml:space="preserve">  ↑ To activate: right-click each button → Assign Macro → select macro name  |  Import ScenarioMacros.bas via VBA Editor (Alt+F11)</t>
        </is>
      </c>
      <c r="B15" s="218" t="n"/>
      <c r="C15" s="218" t="n"/>
      <c r="D15" s="218" t="n"/>
    </row>
    <row r="16">
      <c r="A16" s="77" t="inlineStr">
        <is>
          <t>Active Scenario</t>
        </is>
      </c>
      <c r="B16" s="219" t="inlineStr">
        <is>
          <t>Base</t>
        </is>
      </c>
      <c r="C16" s="112" t="inlineStr">
        <is>
          <t>Base / Bear / Bull</t>
        </is>
      </c>
      <c r="D16" s="124" t="inlineStr">
        <is>
          <t>⬅  Change this cell to switch scenario across all linked sheets</t>
        </is>
      </c>
    </row>
    <row r="17">
      <c r="A17" s="58" t="inlineStr">
        <is>
          <t>Bear Case — Growth Multiplier</t>
        </is>
      </c>
      <c r="B17" s="220" t="n">
        <v>0.7</v>
      </c>
      <c r="C17" s="114" t="inlineStr">
        <is>
          <t>0.5 – 0.9</t>
        </is>
      </c>
      <c r="D17" s="211" t="inlineStr">
        <is>
          <t>Base growth × this → Bear growth (e.g. 0.70 = 30% haircut)</t>
        </is>
      </c>
    </row>
    <row r="18">
      <c r="A18" s="55" t="inlineStr">
        <is>
          <t>Bull Case — Growth Multiplier</t>
        </is>
      </c>
      <c r="B18" s="220" t="n">
        <v>1.3</v>
      </c>
      <c r="C18" s="112" t="inlineStr">
        <is>
          <t>1.1 – 1.5</t>
        </is>
      </c>
      <c r="D18" s="212" t="inlineStr">
        <is>
          <t>Base growth × this → Bull growth (e.g. 1.30 = 30% uplift)</t>
        </is>
      </c>
    </row>
    <row r="19">
      <c r="A19" s="58" t="inlineStr">
        <is>
          <t>Bear Case — WACC Add-On</t>
        </is>
      </c>
      <c r="B19" s="210" t="n">
        <v>0.02</v>
      </c>
      <c r="C19" s="114" t="inlineStr">
        <is>
          <t>+1% – +3%</t>
        </is>
      </c>
      <c r="D19" s="211" t="inlineStr">
        <is>
          <t>Added to base WACC for bear scenario</t>
        </is>
      </c>
    </row>
    <row r="20">
      <c r="A20" s="55" t="inlineStr">
        <is>
          <t>Bull Case — WACC Add-On</t>
        </is>
      </c>
      <c r="B20" s="210" t="n">
        <v>-0.02</v>
      </c>
      <c r="C20" s="112" t="inlineStr">
        <is>
          <t>-3% – -1%</t>
        </is>
      </c>
      <c r="D20" s="212" t="inlineStr">
        <is>
          <t>Added to base WACC for bull scenario (negative = lower discount rate)</t>
        </is>
      </c>
    </row>
    <row r="21">
      <c r="A21" s="58" t="inlineStr">
        <is>
          <t>Bear Case Weight</t>
        </is>
      </c>
      <c r="B21" s="221" t="n">
        <v>0.25</v>
      </c>
      <c r="C21" s="114" t="inlineStr">
        <is>
          <t>10% – 40%</t>
        </is>
      </c>
      <c r="D21" s="211" t="inlineStr">
        <is>
          <t>Probability weight for blended valuation</t>
        </is>
      </c>
    </row>
    <row r="22">
      <c r="A22" s="55" t="inlineStr">
        <is>
          <t>Base Case Weight</t>
        </is>
      </c>
      <c r="B22" s="221" t="n">
        <v>0.5</v>
      </c>
      <c r="C22" s="112" t="inlineStr">
        <is>
          <t>40% – 70%</t>
        </is>
      </c>
      <c r="D22" s="212" t="inlineStr">
        <is>
          <t>Probability weight for blended valuation</t>
        </is>
      </c>
    </row>
    <row r="23">
      <c r="A23" s="58" t="inlineStr">
        <is>
          <t>Bull Case Weight</t>
        </is>
      </c>
      <c r="B23" s="221" t="n">
        <v>0.25</v>
      </c>
      <c r="C23" s="114" t="inlineStr">
        <is>
          <t>10% – 40%</t>
        </is>
      </c>
      <c r="D23" s="211" t="inlineStr">
        <is>
          <t>Probability weight for blended valuation</t>
        </is>
      </c>
    </row>
    <row r="24">
      <c r="A24" s="114" t="inlineStr">
        <is>
          <t>Weight Check (must = 100%)</t>
        </is>
      </c>
      <c r="B24" s="222">
        <f>B21+B22+B23</f>
        <v/>
      </c>
    </row>
    <row r="26">
      <c r="A26" s="223" t="inlineStr">
        <is>
          <t xml:space="preserve">  COMPANY DATA  (fetched — do not manually edit)</t>
        </is>
      </c>
    </row>
    <row r="27">
      <c r="A27" s="23" t="inlineStr">
        <is>
          <t>Data Item</t>
        </is>
      </c>
      <c r="B27" s="23" t="inlineStr">
        <is>
          <t>Value</t>
        </is>
      </c>
      <c r="C27" s="23" t="inlineStr">
        <is>
          <t>Source</t>
        </is>
      </c>
      <c r="D27" s="23" t="inlineStr">
        <is>
          <t>Note</t>
        </is>
      </c>
    </row>
    <row r="28">
      <c r="A28" s="78" t="inlineStr">
        <is>
          <t>Base (Trailing 12M) Revenue ($)</t>
        </is>
      </c>
      <c r="B28" s="224" t="n">
        <v>391035000000</v>
      </c>
      <c r="C28" s="212" t="inlineStr">
        <is>
          <t>yfinance / fetch</t>
        </is>
      </c>
      <c r="D28" s="112" t="inlineStr">
        <is>
          <t>Used as Year 0 anchor for DCF projections</t>
        </is>
      </c>
    </row>
    <row r="29">
      <c r="A29" s="80" t="inlineStr">
        <is>
          <t>Shares Outstanding</t>
        </is>
      </c>
      <c r="B29" s="225" t="n">
        <v>14773260000</v>
      </c>
      <c r="C29" s="211" t="inlineStr">
        <is>
          <t>yfinance / fetch</t>
        </is>
      </c>
      <c r="D29" s="114" t="inlineStr">
        <is>
          <t>Basic share count; used for per-share calculations</t>
        </is>
      </c>
    </row>
    <row r="30">
      <c r="A30" s="78" t="inlineStr">
        <is>
          <t>Cash &amp; Equivalents ($)</t>
        </is>
      </c>
      <c r="B30" s="224" t="n">
        <v>35934000000</v>
      </c>
      <c r="C30" s="212" t="inlineStr">
        <is>
          <t>yfinance / fetch</t>
        </is>
      </c>
      <c r="D30" s="112" t="inlineStr">
        <is>
          <t>Deducted from EV to reach equity value</t>
        </is>
      </c>
    </row>
    <row r="31">
      <c r="A31" s="80" t="inlineStr">
        <is>
          <t>Total Debt ($)</t>
        </is>
      </c>
      <c r="B31" s="226" t="n">
        <v>101304000000</v>
      </c>
      <c r="C31" s="211" t="inlineStr">
        <is>
          <t>yfinance / fetch</t>
        </is>
      </c>
      <c r="D31" s="114" t="inlineStr">
        <is>
          <t>Added back to equity value to reach EV</t>
        </is>
      </c>
    </row>
    <row r="32">
      <c r="A32" s="78" t="inlineStr">
        <is>
          <t>Current Share Price ($)</t>
        </is>
      </c>
      <c r="B32" s="227" t="n">
        <v>213</v>
      </c>
      <c r="C32" s="212" t="inlineStr">
        <is>
          <t>yfinance / fetch</t>
        </is>
      </c>
      <c r="D32" s="112" t="inlineStr">
        <is>
          <t>Used for upside/downside calculation</t>
        </is>
      </c>
    </row>
    <row r="34" ht="18" customHeight="1"/>
    <row r="35">
      <c r="A35" s="228" t="inlineStr">
        <is>
          <t xml:space="preserve">  ■  Yellow cell = editable input (blue text) — safe to change</t>
        </is>
      </c>
    </row>
    <row r="36">
      <c r="A36" s="229" t="inlineStr">
        <is>
          <t xml:space="preserve">  ■  Grey cell = formula-driven — do not edit directly</t>
        </is>
      </c>
    </row>
    <row r="37" ht="4" customHeight="1">
      <c r="A37" s="230" t="inlineStr">
        <is>
          <t xml:space="preserve">  ■  Striped row = fetched/computed data — refreshes on re-run</t>
        </is>
      </c>
    </row>
    <row r="38">
      <c r="A38" s="63" t="inlineStr">
        <is>
          <t xml:space="preserve">  LBO ASSUMPTIONS  (Dual-Compute: Excel formulas + Python floats)</t>
        </is>
      </c>
    </row>
    <row r="39">
      <c r="A39" s="58" t="inlineStr">
        <is>
          <t>Leverage at Entry (Debt/EBITDA)</t>
        </is>
      </c>
      <c r="B39" s="231" t="n">
        <v>6</v>
      </c>
      <c r="C39" s="114" t="inlineStr">
        <is>
          <t>4x – 8x</t>
        </is>
      </c>
      <c r="D39" s="211" t="inlineStr">
        <is>
          <t>Debt/EBITDA at entry; typical PE range 5-7x</t>
        </is>
      </c>
    </row>
    <row r="40">
      <c r="A40" s="55" t="inlineStr">
        <is>
          <t>Interest Rate (Blended Cost of Debt)</t>
        </is>
      </c>
      <c r="B40" s="210" t="n">
        <v>0.07000000000000001</v>
      </c>
      <c r="C40" s="112" t="inlineStr">
        <is>
          <t>5% – 10%</t>
        </is>
      </c>
      <c r="D40" s="212" t="inlineStr">
        <is>
          <t>Blended cost of debt (term loan + revolver)</t>
        </is>
      </c>
    </row>
    <row r="41">
      <c r="A41" s="58" t="inlineStr">
        <is>
          <t>Hold Period (Years)</t>
        </is>
      </c>
      <c r="B41" s="232" t="n">
        <v>5</v>
      </c>
      <c r="C41" s="114" t="inlineStr">
        <is>
          <t>3 – 7 yrs</t>
        </is>
      </c>
      <c r="D41" s="211" t="inlineStr">
        <is>
          <t>Sponsor hold period before exit</t>
        </is>
      </c>
    </row>
    <row r="42">
      <c r="A42" s="55" t="inlineStr">
        <is>
          <t>Exit EV/EBITDA Multiple</t>
        </is>
      </c>
      <c r="B42" s="231" t="n">
        <v>10</v>
      </c>
      <c r="C42" s="112" t="inlineStr">
        <is>
          <t>6x – 15x</t>
        </is>
      </c>
      <c r="D42" s="212" t="inlineStr">
        <is>
          <t>Exit EV/EBITDA multiple (entry multiple +/- re-rate)</t>
        </is>
      </c>
    </row>
    <row r="43">
      <c r="A43" s="58" t="inlineStr">
        <is>
          <t>Entry Enterprise Value ($M)</t>
        </is>
      </c>
      <c r="B43" s="233" t="n">
        <v>3276000</v>
      </c>
      <c r="C43" s="114" t="inlineStr">
        <is>
          <t>EV in $M</t>
        </is>
      </c>
      <c r="D43" s="211" t="inlineStr">
        <is>
          <t>Entry enterprise value in $M (EV = equity + debt)</t>
        </is>
      </c>
    </row>
    <row r="44">
      <c r="A44" s="55" t="inlineStr">
        <is>
          <t>Sponsor Equity % of Entry EV</t>
        </is>
      </c>
      <c r="B44" s="221" t="n">
        <v>0.35</v>
      </c>
      <c r="C44" s="112" t="inlineStr">
        <is>
          <t>25% – 50%</t>
        </is>
      </c>
      <c r="D44" s="212" t="inlineStr">
        <is>
          <t>Sponsor equity as % of entry EV</t>
        </is>
      </c>
    </row>
    <row r="45" ht="28" customHeight="1">
      <c r="A45" s="234" t="inlineStr">
        <is>
          <t xml:space="preserve">  [Dual-Compute]  Yellow cells above are referenced by LBO sheet formulas (=Assumptions!$B$39 etc.) AND by Python floats for PPTX / Monte Carlo. Edit here to update both the Excel model and next Python re-run simultaneously.</t>
        </is>
      </c>
    </row>
  </sheetData>
  <sheetProtection selectLockedCells="0" selectUnlockedCells="0" sheet="1" objects="0" insertRows="0" insertHyperlinks="1" autoFilter="1" scenarios="0" formatColumns="1" deleteColumns="1" insertColumns="1" pivotTables="1" deleteRows="0" formatCells="0" formatRows="1" sort="1"/>
  <mergeCells count="13">
    <mergeCell ref="A45:D45"/>
    <mergeCell ref="A37:D37"/>
    <mergeCell ref="B14"/>
    <mergeCell ref="A35:D35"/>
    <mergeCell ref="A3:D3"/>
    <mergeCell ref="A26:D26"/>
    <mergeCell ref="A1:L1"/>
    <mergeCell ref="D14"/>
    <mergeCell ref="A15:D15"/>
    <mergeCell ref="A38:D38"/>
    <mergeCell ref="C14"/>
    <mergeCell ref="A14"/>
    <mergeCell ref="A36:D36"/>
  </mergeCells>
  <conditionalFormatting sqref="B24">
    <cfRule type="cellIs" priority="1" operator="notEqual" dxfId="0">
      <formula>1</formula>
    </cfRule>
  </conditionalFormatting>
  <dataValidations count="1">
    <dataValidation sqref="B16" showDropDown="0" showInputMessage="0" showErrorMessage="0" allowBlank="0" type="list">
      <formula1>"Base,Bear,Bull"</formula1>
    </dataValidation>
  </dataValidation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30.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2" customWidth="1" min="3" max="3"/>
    <col width="12" customWidth="1" min="4" max="4"/>
    <col width="14" customWidth="1" min="5" max="5"/>
    <col width="14" customWidth="1" min="6" max="6"/>
    <col width="8" customWidth="1" min="7" max="7"/>
  </cols>
  <sheetData>
    <row r="1" ht="32" customHeight="1">
      <c r="A1" s="21" t="inlineStr">
        <is>
          <t xml:space="preserve">  Football Field — Valuation Range by Method    |    Implied price per share across DCF, Comps, Precedents, LBO, DDM</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23" t="inlineStr">
        <is>
          <t>Valuation Method</t>
        </is>
      </c>
      <c r="B5" s="23" t="inlineStr">
        <is>
          <t>Low ($)</t>
        </is>
      </c>
      <c r="C5" s="23" t="inlineStr">
        <is>
          <t>Mid ($)</t>
        </is>
      </c>
      <c r="D5" s="23" t="inlineStr">
        <is>
          <t>High ($)</t>
        </is>
      </c>
      <c r="E5" s="23" t="inlineStr">
        <is>
          <t>vs Current</t>
        </is>
      </c>
      <c r="F5" s="23" t="inlineStr">
        <is>
          <t>Implied Upside</t>
        </is>
      </c>
      <c r="G5" s="23" t="inlineStr">
        <is>
          <t>Confidence</t>
        </is>
      </c>
    </row>
    <row r="6">
      <c r="A6" s="235" t="inlineStr">
        <is>
          <t>52-Week Range</t>
        </is>
      </c>
      <c r="B6" s="236" t="n">
        <v>82.04000000000001</v>
      </c>
      <c r="C6" s="237" t="n">
        <v>191.01</v>
      </c>
      <c r="D6" s="236" t="n">
        <v>299.97</v>
      </c>
      <c r="E6" s="238" t="n">
        <v>-0.1032394366197183</v>
      </c>
      <c r="F6" s="239" t="inlineStr">
        <is>
          <t>████████████</t>
        </is>
      </c>
      <c r="G6" s="240" t="inlineStr">
        <is>
          <t>Medium</t>
        </is>
      </c>
    </row>
    <row r="7">
      <c r="A7" s="235" t="inlineStr">
        <is>
          <t>Analyst Targets</t>
        </is>
      </c>
      <c r="B7" s="236" t="n">
        <v>69.73999999999999</v>
      </c>
      <c r="C7" s="237" t="n">
        <v>207.35</v>
      </c>
      <c r="D7" s="236" t="n">
        <v>344.97</v>
      </c>
      <c r="E7" s="241" t="n">
        <v>-0.02652582159624417</v>
      </c>
      <c r="F7" s="239" t="inlineStr">
        <is>
          <t>███████████████</t>
        </is>
      </c>
      <c r="G7" s="240" t="inlineStr">
        <is>
          <t>Medium</t>
        </is>
      </c>
    </row>
    <row r="8">
      <c r="A8" s="235" t="inlineStr">
        <is>
          <t>DCF (Bear–Bull)</t>
        </is>
      </c>
      <c r="B8" s="236" t="n">
        <v>92.56999999999999</v>
      </c>
      <c r="C8" s="237" t="n">
        <v>168.1</v>
      </c>
      <c r="D8" s="236" t="n">
        <v>243.63</v>
      </c>
      <c r="E8" s="238" t="n">
        <v>-0.2107981220657277</v>
      </c>
      <c r="F8" s="239" t="inlineStr">
        <is>
          <t>████████</t>
        </is>
      </c>
      <c r="G8" s="240" t="inlineStr">
        <is>
          <t>Medium</t>
        </is>
      </c>
    </row>
    <row r="9">
      <c r="A9" s="235" t="inlineStr">
        <is>
          <t>Comparable Companies</t>
        </is>
      </c>
      <c r="B9" s="236" t="n">
        <v>149.66</v>
      </c>
      <c r="C9" s="237" t="n">
        <v>247.31</v>
      </c>
      <c r="D9" s="236" t="n">
        <v>344.97</v>
      </c>
      <c r="E9" s="242" t="n">
        <v>0.1610798122065729</v>
      </c>
      <c r="F9" s="239" t="inlineStr">
        <is>
          <t>███████████</t>
        </is>
      </c>
      <c r="G9" s="240" t="inlineStr">
        <is>
          <t>Medium</t>
        </is>
      </c>
    </row>
    <row r="10">
      <c r="A10" s="243" t="inlineStr">
        <is>
          <t>Precedent Transactions</t>
        </is>
      </c>
      <c r="B10" s="236" t="n">
        <v>146.1</v>
      </c>
      <c r="C10" s="244" t="n">
        <v>184.8</v>
      </c>
      <c r="D10" s="236" t="n">
        <v>223.5</v>
      </c>
      <c r="E10" s="238" t="n">
        <v>-0.132394366197183</v>
      </c>
      <c r="F10" s="245" t="inlineStr">
        <is>
          <t>████</t>
        </is>
      </c>
      <c r="G10" s="240" t="inlineStr">
        <is>
          <t>Medium</t>
        </is>
      </c>
    </row>
    <row r="11">
      <c r="A11" s="246" t="inlineStr">
        <is>
          <t>LBO Floor</t>
        </is>
      </c>
      <c r="B11" s="236" t="n">
        <v>65.63</v>
      </c>
      <c r="C11" s="247" t="n">
        <v>77.94</v>
      </c>
      <c r="D11" s="236" t="n">
        <v>90.25</v>
      </c>
      <c r="E11" s="238" t="n">
        <v>-0.6340845070422536</v>
      </c>
      <c r="F11" s="248" t="inlineStr">
        <is>
          <t>█</t>
        </is>
      </c>
      <c r="G11" s="240" t="inlineStr">
        <is>
          <t>Medium</t>
        </is>
      </c>
    </row>
    <row r="12">
      <c r="A12" s="33" t="inlineStr">
        <is>
          <t>SOTP / Blended</t>
        </is>
      </c>
      <c r="B12" s="236" t="n">
        <v>178.18</v>
      </c>
      <c r="C12" s="249" t="n">
        <v>214.86</v>
      </c>
      <c r="D12" s="236" t="n">
        <v>251.55</v>
      </c>
      <c r="E12" s="241" t="n">
        <v>0.008732394366197216</v>
      </c>
      <c r="F12" s="250" t="inlineStr">
        <is>
          <t>████</t>
        </is>
      </c>
      <c r="G12" s="240" t="inlineStr">
        <is>
          <t>Medium</t>
        </is>
      </c>
    </row>
    <row r="13"/>
    <row r="14">
      <c r="A14" s="251" t="inlineStr">
        <is>
          <t xml:space="preserve">  ★  Current Market Price: $213.00  |  Above 2 of 7 methods  |  Below 5 of 7 methods</t>
        </is>
      </c>
    </row>
    <row r="15"/>
    <row r="16"/>
    <row r="17"/>
    <row r="18">
      <c r="J18" t="inlineStr">
        <is>
          <t>Method</t>
        </is>
      </c>
      <c r="K18" t="inlineStr">
        <is>
          <t>Base (invisible)</t>
        </is>
      </c>
      <c r="L18" t="inlineStr">
        <is>
          <t>Range (Hi-Lo)</t>
        </is>
      </c>
      <c r="M18" t="inlineStr">
        <is>
          <t>Current Price</t>
        </is>
      </c>
    </row>
    <row r="19">
      <c r="J19" t="inlineStr">
        <is>
          <t>52-Week Range</t>
        </is>
      </c>
      <c r="K19" t="n">
        <v>82.04000000000001</v>
      </c>
      <c r="L19" t="n">
        <v>217.93</v>
      </c>
      <c r="M19" t="n">
        <v>213</v>
      </c>
    </row>
    <row r="20">
      <c r="J20" t="inlineStr">
        <is>
          <t>Analyst Targets</t>
        </is>
      </c>
      <c r="K20" t="n">
        <v>69.73999999999999</v>
      </c>
      <c r="L20" t="n">
        <v>275.23</v>
      </c>
      <c r="M20" t="n">
        <v>213</v>
      </c>
    </row>
    <row r="21">
      <c r="J21" t="inlineStr">
        <is>
          <t>DCF (Bear–Bull)</t>
        </is>
      </c>
      <c r="K21" t="n">
        <v>92.56999999999999</v>
      </c>
      <c r="L21" t="n">
        <v>151.06</v>
      </c>
      <c r="M21" t="n">
        <v>213</v>
      </c>
    </row>
    <row r="22">
      <c r="J22" t="inlineStr">
        <is>
          <t>Comparable Companies</t>
        </is>
      </c>
      <c r="K22" t="n">
        <v>149.66</v>
      </c>
      <c r="L22" t="n">
        <v>195.31</v>
      </c>
      <c r="M22" t="n">
        <v>213</v>
      </c>
    </row>
    <row r="23">
      <c r="J23" t="inlineStr">
        <is>
          <t>Precedent Transactions</t>
        </is>
      </c>
      <c r="K23" t="n">
        <v>146.1</v>
      </c>
      <c r="L23" t="n">
        <v>77.40000000000001</v>
      </c>
      <c r="M23" t="n">
        <v>213</v>
      </c>
    </row>
    <row r="24">
      <c r="J24" t="inlineStr">
        <is>
          <t>LBO Floor</t>
        </is>
      </c>
      <c r="K24" t="n">
        <v>65.63</v>
      </c>
      <c r="L24" t="n">
        <v>24.62</v>
      </c>
      <c r="M24" t="n">
        <v>213</v>
      </c>
    </row>
    <row r="25">
      <c r="J25" t="inlineStr">
        <is>
          <t>SOTP / Blended</t>
        </is>
      </c>
      <c r="K25" t="n">
        <v>178.18</v>
      </c>
      <c r="L25" t="n">
        <v>73.37</v>
      </c>
      <c r="M25" t="n">
        <v>213</v>
      </c>
    </row>
    <row r="26"/>
    <row r="27"/>
    <row r="28"/>
    <row r="29"/>
    <row r="30"/>
    <row r="31"/>
    <row r="32"/>
    <row r="33"/>
    <row r="34"/>
    <row r="35"/>
    <row r="36"/>
    <row r="37"/>
    <row r="38"/>
    <row r="39"/>
    <row r="40"/>
    <row r="41"/>
    <row r="42"/>
    <row r="43"/>
    <row r="44"/>
    <row r="45"/>
    <row r="46"/>
    <row r="47"/>
    <row r="48"/>
    <row r="49"/>
    <row r="50"/>
  </sheetData>
  <mergeCells count="2">
    <mergeCell ref="A14:G14"/>
    <mergeCell ref="A1:L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1"/>
</worksheet>
</file>

<file path=xl/worksheets/sheet31.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2" customWidth="1" min="1" max="1"/>
    <col width="15" customWidth="1" min="2" max="2"/>
    <col width="15" customWidth="1" min="3" max="3"/>
    <col width="15" customWidth="1" min="4" max="4"/>
    <col width="15" customWidth="1" min="5" max="5"/>
    <col width="15" customWidth="1" min="6" max="6"/>
    <col width="15" customWidth="1" min="7" max="7"/>
  </cols>
  <sheetData>
    <row r="1" ht="32" customHeight="1">
      <c r="A1" s="21" t="inlineStr">
        <is>
          <t xml:space="preserve">  3-Statement Integrated Model    |    Income Statement · Balance Sheet · Cash Flow (5-Year)</t>
        </is>
      </c>
    </row>
    <row r="2"/>
    <row r="3">
      <c r="A3" s="76" t="inlineStr">
        <is>
          <t>INCOME STATEMENT  ($M)</t>
        </is>
      </c>
    </row>
    <row r="4">
      <c r="A4" s="23" t="inlineStr">
        <is>
          <t>Line Item</t>
        </is>
      </c>
      <c r="B4" s="23" t="inlineStr">
        <is>
          <t>Y1</t>
        </is>
      </c>
      <c r="C4" s="23" t="inlineStr">
        <is>
          <t>Y2</t>
        </is>
      </c>
      <c r="D4" s="23" t="inlineStr">
        <is>
          <t>Y3</t>
        </is>
      </c>
      <c r="E4" s="23" t="inlineStr">
        <is>
          <t>Y4</t>
        </is>
      </c>
      <c r="F4" s="23" t="inlineStr">
        <is>
          <t>Y5</t>
        </is>
      </c>
    </row>
    <row r="5">
      <c r="A5" s="79" t="inlineStr">
        <is>
          <t>Revenue</t>
        </is>
      </c>
      <c r="B5" s="177" t="n">
        <v>420362.625</v>
      </c>
      <c r="C5" s="177" t="n">
        <v>451889.821875</v>
      </c>
      <c r="D5" s="177" t="n">
        <v>485781.558516</v>
      </c>
      <c r="E5" s="177" t="n">
        <v>493672.678054</v>
      </c>
      <c r="F5" s="177" t="n">
        <v>523293.038737</v>
      </c>
    </row>
    <row r="6">
      <c r="A6" s="78" t="inlineStr">
        <is>
          <t>Gross Profit</t>
        </is>
      </c>
      <c r="B6" s="136" t="n">
        <v>231199.44375</v>
      </c>
      <c r="C6" s="136" t="n">
        <v>248539.402031</v>
      </c>
      <c r="D6" s="136" t="n">
        <v>267179.857184</v>
      </c>
      <c r="E6" s="136" t="n">
        <v>271519.972929</v>
      </c>
      <c r="F6" s="136" t="n">
        <v>287811.171305</v>
      </c>
    </row>
    <row r="7">
      <c r="A7" s="80" t="inlineStr">
        <is>
          <t>SG&amp;A</t>
        </is>
      </c>
      <c r="B7" s="137" t="n">
        <v>75665.27250000001</v>
      </c>
      <c r="C7" s="137" t="n">
        <v>81340.16793700001</v>
      </c>
      <c r="D7" s="137" t="n">
        <v>87440.68053300001</v>
      </c>
      <c r="E7" s="137" t="n">
        <v>88861.08205</v>
      </c>
      <c r="F7" s="137" t="n">
        <v>94192.746973</v>
      </c>
    </row>
    <row r="8">
      <c r="A8" s="78" t="inlineStr">
        <is>
          <t>R&amp;D</t>
        </is>
      </c>
      <c r="B8" s="136" t="n">
        <v>50443.515</v>
      </c>
      <c r="C8" s="136" t="n">
        <v>54226.778625</v>
      </c>
      <c r="D8" s="136" t="n">
        <v>58293.787022</v>
      </c>
      <c r="E8" s="136" t="n">
        <v>59240.721366</v>
      </c>
      <c r="F8" s="136" t="n">
        <v>62795.164648</v>
      </c>
    </row>
    <row r="9">
      <c r="A9" s="252" t="inlineStr">
        <is>
          <t>EBITDA</t>
        </is>
      </c>
      <c r="B9" s="253" t="n">
        <v>155008.717969</v>
      </c>
      <c r="C9" s="253" t="n">
        <v>166634.371816</v>
      </c>
      <c r="D9" s="253" t="n">
        <v>179131.949703</v>
      </c>
      <c r="E9" s="253" t="n">
        <v>182041.800032</v>
      </c>
      <c r="F9" s="253" t="n">
        <v>192964.308034</v>
      </c>
    </row>
    <row r="10">
      <c r="A10" s="78" t="inlineStr">
        <is>
          <t>D&amp;A</t>
        </is>
      </c>
      <c r="B10" s="136" t="n">
        <v>12190.516125</v>
      </c>
      <c r="C10" s="136" t="n">
        <v>13104.804834</v>
      </c>
      <c r="D10" s="136" t="n">
        <v>14087.665197</v>
      </c>
      <c r="E10" s="136" t="n">
        <v>14316.507664</v>
      </c>
      <c r="F10" s="136" t="n">
        <v>15175.498123</v>
      </c>
    </row>
    <row r="11">
      <c r="A11" s="80" t="inlineStr">
        <is>
          <t>EBIT</t>
        </is>
      </c>
      <c r="B11" s="137" t="n">
        <v>142818.201844</v>
      </c>
      <c r="C11" s="137" t="n">
        <v>153529.566982</v>
      </c>
      <c r="D11" s="137" t="n">
        <v>165044.284506</v>
      </c>
      <c r="E11" s="137" t="n">
        <v>167725.292369</v>
      </c>
      <c r="F11" s="137" t="n">
        <v>177788.809911</v>
      </c>
    </row>
    <row r="12">
      <c r="A12" s="78" t="inlineStr">
        <is>
          <t>Interest Expense</t>
        </is>
      </c>
      <c r="B12" s="136" t="n">
        <v>5571.72</v>
      </c>
      <c r="C12" s="136" t="n">
        <v>4735.962</v>
      </c>
      <c r="D12" s="136" t="n">
        <v>4025.5677</v>
      </c>
      <c r="E12" s="136" t="n">
        <v>3421.732545</v>
      </c>
      <c r="F12" s="136" t="n">
        <v>2908.472663</v>
      </c>
    </row>
    <row r="13">
      <c r="A13" s="80" t="inlineStr">
        <is>
          <t>EBT</t>
        </is>
      </c>
      <c r="B13" s="137" t="n">
        <v>137246.481844</v>
      </c>
      <c r="C13" s="137" t="n">
        <v>148793.604982</v>
      </c>
      <c r="D13" s="137" t="n">
        <v>161018.716806</v>
      </c>
      <c r="E13" s="137" t="n">
        <v>164303.559824</v>
      </c>
      <c r="F13" s="137" t="n">
        <v>174880.337248</v>
      </c>
    </row>
    <row r="14">
      <c r="A14" s="78" t="inlineStr">
        <is>
          <t>Tax</t>
        </is>
      </c>
      <c r="B14" s="136" t="n">
        <v>20724.218758</v>
      </c>
      <c r="C14" s="136" t="n">
        <v>22467.834352</v>
      </c>
      <c r="D14" s="136" t="n">
        <v>24313.826238</v>
      </c>
      <c r="E14" s="136" t="n">
        <v>24809.837533</v>
      </c>
      <c r="F14" s="136" t="n">
        <v>26406.930924</v>
      </c>
    </row>
    <row r="15">
      <c r="A15" s="252" t="inlineStr">
        <is>
          <t>Net Income</t>
        </is>
      </c>
      <c r="B15" s="253" t="n">
        <v>116522.263085</v>
      </c>
      <c r="C15" s="253" t="n">
        <v>126325.77063</v>
      </c>
      <c r="D15" s="253" t="n">
        <v>136704.890568</v>
      </c>
      <c r="E15" s="253" t="n">
        <v>139493.72229</v>
      </c>
      <c r="F15" s="253" t="n">
        <v>148473.406323</v>
      </c>
    </row>
    <row r="16">
      <c r="A16" s="78" t="inlineStr">
        <is>
          <t>EPS (diluted)</t>
        </is>
      </c>
      <c r="B16" s="254" t="n">
        <v>7.89</v>
      </c>
      <c r="C16" s="254" t="n">
        <v>8.550000000000001</v>
      </c>
      <c r="D16" s="254" t="n">
        <v>9.25</v>
      </c>
      <c r="E16" s="254" t="n">
        <v>9.44</v>
      </c>
      <c r="F16" s="254" t="n">
        <v>10.05</v>
      </c>
    </row>
    <row r="17"/>
    <row r="18">
      <c r="A18" s="63" t="inlineStr">
        <is>
          <t>BALANCE SHEET  ($M)</t>
        </is>
      </c>
    </row>
    <row r="19">
      <c r="A19" s="23" t="inlineStr">
        <is>
          <t>Line Item</t>
        </is>
      </c>
      <c r="B19" s="23" t="inlineStr">
        <is>
          <t>Y1</t>
        </is>
      </c>
      <c r="C19" s="23" t="inlineStr">
        <is>
          <t>Y2</t>
        </is>
      </c>
      <c r="D19" s="23" t="inlineStr">
        <is>
          <t>Y3</t>
        </is>
      </c>
      <c r="E19" s="23" t="inlineStr">
        <is>
          <t>Y4</t>
        </is>
      </c>
      <c r="F19" s="23" t="inlineStr">
        <is>
          <t>Y5</t>
        </is>
      </c>
    </row>
    <row r="20">
      <c r="A20" s="78" t="inlineStr">
        <is>
          <t>Cash &amp; Equivalents</t>
        </is>
      </c>
      <c r="B20" s="136" t="n">
        <v>133057.036835</v>
      </c>
      <c r="C20" s="136" t="n">
        <v>241947.649246</v>
      </c>
      <c r="D20" s="136" t="n">
        <v>362815.903229</v>
      </c>
      <c r="E20" s="136" t="n">
        <v>488040.900889</v>
      </c>
      <c r="F20" s="136" t="n">
        <v>623349.178652</v>
      </c>
    </row>
    <row r="21">
      <c r="A21" s="80" t="inlineStr">
        <is>
          <t>Accounts Receivable</t>
        </is>
      </c>
      <c r="B21" s="137" t="n">
        <v>50443.515</v>
      </c>
      <c r="C21" s="137" t="n">
        <v>54226.778625</v>
      </c>
      <c r="D21" s="137" t="n">
        <v>58293.787022</v>
      </c>
      <c r="E21" s="137" t="n">
        <v>59240.721366</v>
      </c>
      <c r="F21" s="137" t="n">
        <v>62795.164648</v>
      </c>
    </row>
    <row r="22">
      <c r="A22" s="78" t="inlineStr">
        <is>
          <t>Inventory</t>
        </is>
      </c>
      <c r="B22" s="136" t="n">
        <v>16814.505</v>
      </c>
      <c r="C22" s="136" t="n">
        <v>18075.592875</v>
      </c>
      <c r="D22" s="136" t="n">
        <v>19431.262341</v>
      </c>
      <c r="E22" s="136" t="n">
        <v>19746.907122</v>
      </c>
      <c r="F22" s="136" t="n">
        <v>20931.721549</v>
      </c>
    </row>
    <row r="23">
      <c r="A23" s="80" t="inlineStr">
        <is>
          <t>PP&amp;E (net)</t>
        </is>
      </c>
      <c r="B23" s="137" t="n">
        <v>134760.436875</v>
      </c>
      <c r="C23" s="137" t="n">
        <v>132500.987766</v>
      </c>
      <c r="D23" s="137" t="n">
        <v>130072.079973</v>
      </c>
      <c r="E23" s="137" t="n">
        <v>127603.716583</v>
      </c>
      <c r="F23" s="137" t="n">
        <v>124987.251389</v>
      </c>
    </row>
    <row r="24">
      <c r="A24" s="77" t="inlineStr">
        <is>
          <t>Total Assets</t>
        </is>
      </c>
      <c r="B24" s="255" t="n">
        <v>368704.50371</v>
      </c>
      <c r="C24" s="255" t="n">
        <v>482902.194262</v>
      </c>
      <c r="D24" s="255" t="n">
        <v>609475.557246</v>
      </c>
      <c r="E24" s="255" t="n">
        <v>734126.060205</v>
      </c>
      <c r="F24" s="255" t="n">
        <v>873926.759338</v>
      </c>
    </row>
    <row r="25">
      <c r="A25" s="80" t="inlineStr">
        <is>
          <t>Accounts Payable</t>
        </is>
      </c>
      <c r="B25" s="137" t="n">
        <v>37832.63625</v>
      </c>
      <c r="C25" s="137" t="n">
        <v>40670.083969</v>
      </c>
      <c r="D25" s="137" t="n">
        <v>43720.340266</v>
      </c>
      <c r="E25" s="137" t="n">
        <v>44430.541025</v>
      </c>
      <c r="F25" s="137" t="n">
        <v>47096.373486</v>
      </c>
    </row>
    <row r="26">
      <c r="A26" s="78" t="inlineStr">
        <is>
          <t>Total Debt</t>
        </is>
      </c>
      <c r="B26" s="136" t="n">
        <v>86108.39999999999</v>
      </c>
      <c r="C26" s="136" t="n">
        <v>73192.14</v>
      </c>
      <c r="D26" s="136" t="n">
        <v>62213.319</v>
      </c>
      <c r="E26" s="136" t="n">
        <v>52881.32115</v>
      </c>
      <c r="F26" s="136" t="n">
        <v>44949.122978</v>
      </c>
    </row>
    <row r="27">
      <c r="A27" s="80" t="inlineStr">
        <is>
          <t>Total Liabilities</t>
        </is>
      </c>
      <c r="B27" s="137" t="n">
        <v>149162.79375</v>
      </c>
      <c r="C27" s="137" t="n">
        <v>140975.613281</v>
      </c>
      <c r="D27" s="137" t="n">
        <v>135080.552777</v>
      </c>
      <c r="E27" s="137" t="n">
        <v>126932.222858</v>
      </c>
      <c r="F27" s="137" t="n">
        <v>123443.078788</v>
      </c>
    </row>
    <row r="28">
      <c r="A28" s="256" t="inlineStr">
        <is>
          <t>Shareholders Equity</t>
        </is>
      </c>
      <c r="B28" s="257" t="n">
        <v>219541.70996</v>
      </c>
      <c r="C28" s="257" t="n">
        <v>341926.580981</v>
      </c>
      <c r="D28" s="257" t="n">
        <v>474395.004469</v>
      </c>
      <c r="E28" s="257" t="n">
        <v>607193.837347</v>
      </c>
      <c r="F28" s="257" t="n">
        <v>750483.68055</v>
      </c>
    </row>
    <row r="29">
      <c r="A29" s="258" t="inlineStr">
        <is>
          <t>Balance Check ($M)</t>
        </is>
      </c>
      <c r="B29" s="259" t="n">
        <v>0</v>
      </c>
      <c r="C29" s="259" t="n">
        <v>0</v>
      </c>
      <c r="D29" s="259" t="n">
        <v>0</v>
      </c>
      <c r="E29" s="259" t="n">
        <v>0</v>
      </c>
      <c r="F29" s="259" t="n">
        <v>0</v>
      </c>
    </row>
    <row r="30"/>
    <row r="31">
      <c r="A31" s="63" t="inlineStr">
        <is>
          <t>CASH FLOW STATEMENT  ($M)</t>
        </is>
      </c>
    </row>
    <row r="32">
      <c r="A32" s="23" t="inlineStr">
        <is>
          <t>Line Item</t>
        </is>
      </c>
      <c r="B32" s="23" t="inlineStr">
        <is>
          <t>Y1</t>
        </is>
      </c>
      <c r="C32" s="23" t="inlineStr">
        <is>
          <t>Y2</t>
        </is>
      </c>
      <c r="D32" s="23" t="inlineStr">
        <is>
          <t>Y3</t>
        </is>
      </c>
      <c r="E32" s="23" t="inlineStr">
        <is>
          <t>Y4</t>
        </is>
      </c>
      <c r="F32" s="23" t="inlineStr">
        <is>
          <t>Y5</t>
        </is>
      </c>
    </row>
    <row r="33">
      <c r="A33" s="80" t="inlineStr">
        <is>
          <t>Net Income</t>
        </is>
      </c>
      <c r="B33" s="137" t="n">
        <v>116522.263085</v>
      </c>
      <c r="C33" s="137" t="n">
        <v>126325.77063</v>
      </c>
      <c r="D33" s="137" t="n">
        <v>136704.890568</v>
      </c>
      <c r="E33" s="137" t="n">
        <v>139493.72229</v>
      </c>
      <c r="F33" s="137" t="n">
        <v>148473.406323</v>
      </c>
    </row>
    <row r="34">
      <c r="A34" s="78" t="inlineStr">
        <is>
          <t>D&amp;A (add-back)</t>
        </is>
      </c>
      <c r="B34" s="136" t="n">
        <v>12190.516125</v>
      </c>
      <c r="C34" s="136" t="n">
        <v>13104.804834</v>
      </c>
      <c r="D34" s="136" t="n">
        <v>14087.665197</v>
      </c>
      <c r="E34" s="136" t="n">
        <v>14316.507664</v>
      </c>
      <c r="F34" s="136" t="n">
        <v>15175.498123</v>
      </c>
    </row>
    <row r="35">
      <c r="A35" s="80" t="inlineStr">
        <is>
          <t>NWC Change</t>
        </is>
      </c>
      <c r="B35" s="137" t="n">
        <v>116522.263085</v>
      </c>
      <c r="C35" s="137" t="n">
        <v>126325.77063</v>
      </c>
      <c r="D35" s="137" t="n">
        <v>136704.890568</v>
      </c>
      <c r="E35" s="137" t="n">
        <v>139493.72229</v>
      </c>
      <c r="F35" s="137" t="n">
        <v>148473.406323</v>
      </c>
    </row>
    <row r="36">
      <c r="A36" s="256" t="inlineStr">
        <is>
          <t>Operating Cash Flow</t>
        </is>
      </c>
      <c r="B36" s="257" t="n">
        <v>122407.339835</v>
      </c>
      <c r="C36" s="257" t="n">
        <v>132652.228136</v>
      </c>
      <c r="D36" s="257" t="n">
        <v>143505.832387</v>
      </c>
      <c r="E36" s="257" t="n">
        <v>146405.139783</v>
      </c>
      <c r="F36" s="257" t="n">
        <v>155799.508866</v>
      </c>
    </row>
    <row r="37">
      <c r="A37" s="80" t="inlineStr">
        <is>
          <t>CapEx</t>
        </is>
      </c>
      <c r="B37" s="137" t="n">
        <v>10088.703</v>
      </c>
      <c r="C37" s="137" t="n">
        <v>10845.355725</v>
      </c>
      <c r="D37" s="137" t="n">
        <v>11658.757404</v>
      </c>
      <c r="E37" s="137" t="n">
        <v>11848.144273</v>
      </c>
      <c r="F37" s="137" t="n">
        <v>12559.03293</v>
      </c>
    </row>
    <row r="38">
      <c r="A38" s="78" t="inlineStr">
        <is>
          <t>Investing Cash Flow</t>
        </is>
      </c>
      <c r="B38" s="136" t="n">
        <v>-10088.703</v>
      </c>
      <c r="C38" s="136" t="n">
        <v>-10845.355725</v>
      </c>
      <c r="D38" s="136" t="n">
        <v>-11658.757404</v>
      </c>
      <c r="E38" s="136" t="n">
        <v>-11848.144273</v>
      </c>
      <c r="F38" s="136" t="n">
        <v>-12559.03293</v>
      </c>
    </row>
    <row r="39">
      <c r="A39" s="80" t="inlineStr">
        <is>
          <t>Debt Repayment</t>
        </is>
      </c>
      <c r="B39" s="137" t="n">
        <v>15195.6</v>
      </c>
      <c r="C39" s="137" t="n">
        <v>12916.26</v>
      </c>
      <c r="D39" s="137" t="n">
        <v>10978.821</v>
      </c>
      <c r="E39" s="137" t="n">
        <v>9331.99785</v>
      </c>
      <c r="F39" s="137" t="n">
        <v>7932.198172</v>
      </c>
    </row>
    <row r="40">
      <c r="A40" s="78" t="inlineStr">
        <is>
          <t>Financing Cash Flow</t>
        </is>
      </c>
      <c r="B40" s="136" t="n">
        <v>-15195.6</v>
      </c>
      <c r="C40" s="136" t="n">
        <v>-12916.26</v>
      </c>
      <c r="D40" s="136" t="n">
        <v>-10978.821</v>
      </c>
      <c r="E40" s="136" t="n">
        <v>-9331.99785</v>
      </c>
      <c r="F40" s="136" t="n">
        <v>-7932.198172</v>
      </c>
    </row>
    <row r="41">
      <c r="A41" s="80" t="inlineStr">
        <is>
          <t>Net Change in Cash</t>
        </is>
      </c>
      <c r="B41" s="137" t="n">
        <v>97123.03683500001</v>
      </c>
      <c r="C41" s="137" t="n">
        <v>108890.612411</v>
      </c>
      <c r="D41" s="137" t="n">
        <v>120868.253983</v>
      </c>
      <c r="E41" s="137" t="n">
        <v>125224.99766</v>
      </c>
      <c r="F41" s="137" t="n">
        <v>135308.277763</v>
      </c>
    </row>
    <row r="42">
      <c r="A42" s="256" t="inlineStr">
        <is>
          <t>Ending Cash Balance</t>
        </is>
      </c>
      <c r="B42" s="257" t="n">
        <v>133057.036835</v>
      </c>
      <c r="C42" s="257" t="n">
        <v>241947.649246</v>
      </c>
      <c r="D42" s="257" t="n">
        <v>362815.903229</v>
      </c>
      <c r="E42" s="257" t="n">
        <v>488040.900889</v>
      </c>
      <c r="F42" s="257" t="n">
        <v>623349.178652</v>
      </c>
    </row>
    <row r="43"/>
    <row r="44"/>
    <row r="45"/>
    <row r="46"/>
    <row r="47"/>
    <row r="48"/>
    <row r="49"/>
    <row r="50"/>
  </sheetData>
  <mergeCells count="4">
    <mergeCell ref="A31:G31"/>
    <mergeCell ref="A3:G3"/>
    <mergeCell ref="A1:L1"/>
    <mergeCell ref="A18:G18"/>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32.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4" customWidth="1" min="1" max="1"/>
    <col width="18" customWidth="1" min="2" max="2"/>
    <col width="30" customWidth="1" min="3" max="3"/>
    <col width="18" customWidth="1" min="4" max="4"/>
  </cols>
  <sheetData>
    <row r="1" ht="32" customHeight="1">
      <c r="A1" s="21" t="inlineStr">
        <is>
          <t xml:space="preserve">  Monte Carlo Simulation    |    N=10,000 Simulations · Equity Value Distribution</t>
        </is>
      </c>
    </row>
    <row r="2"/>
    <row r="3">
      <c r="A3" s="76" t="inlineStr">
        <is>
          <t>SIMULATION STATISTICS</t>
        </is>
      </c>
    </row>
    <row r="4">
      <c r="A4" s="260" t="inlineStr">
        <is>
          <t>Mean Price</t>
        </is>
      </c>
      <c r="B4" s="261" t="inlineStr">
        <is>
          <t>$170.46</t>
        </is>
      </c>
    </row>
    <row r="5">
      <c r="A5" s="262" t="inlineStr">
        <is>
          <t>Median Price</t>
        </is>
      </c>
      <c r="B5" s="263" t="inlineStr">
        <is>
          <t>$160.32</t>
        </is>
      </c>
    </row>
    <row r="6">
      <c r="A6" s="260" t="inlineStr">
        <is>
          <t>Std Deviation</t>
        </is>
      </c>
      <c r="B6" s="261" t="inlineStr">
        <is>
          <t>$61.23</t>
        </is>
      </c>
    </row>
    <row r="7">
      <c r="A7" s="262" t="inlineStr">
        <is>
          <t>10th Percentile</t>
        </is>
      </c>
      <c r="B7" s="263" t="inlineStr">
        <is>
          <t>$101.82</t>
        </is>
      </c>
    </row>
    <row r="8">
      <c r="A8" s="260" t="inlineStr">
        <is>
          <t>25th Percentile</t>
        </is>
      </c>
      <c r="B8" s="261" t="inlineStr">
        <is>
          <t>$125.37</t>
        </is>
      </c>
    </row>
    <row r="9">
      <c r="A9" s="262" t="inlineStr">
        <is>
          <t>75th Percentile</t>
        </is>
      </c>
      <c r="B9" s="263" t="inlineStr">
        <is>
          <t>$203.51</t>
        </is>
      </c>
    </row>
    <row r="10">
      <c r="A10" s="260" t="inlineStr">
        <is>
          <t>90th Percentile</t>
        </is>
      </c>
      <c r="B10" s="261" t="inlineStr">
        <is>
          <t>$253.10</t>
        </is>
      </c>
    </row>
    <row r="11">
      <c r="A11" s="262" t="inlineStr">
        <is>
          <t>Prob &gt; Current</t>
        </is>
      </c>
      <c r="B11" s="263" t="inlineStr">
        <is>
          <t>21.2%</t>
        </is>
      </c>
    </row>
    <row r="12">
      <c r="A12" s="260" t="inlineStr">
        <is>
          <t>Prob &gt; +20%</t>
        </is>
      </c>
      <c r="B12" s="261" t="inlineStr">
        <is>
          <t>9.6%</t>
        </is>
      </c>
    </row>
    <row r="13"/>
    <row r="14">
      <c r="A14" s="63" t="inlineStr">
        <is>
          <t>PERCENTILE TABLE</t>
        </is>
      </c>
    </row>
    <row r="15">
      <c r="A15" s="23" t="inlineStr">
        <is>
          <t>Percentile</t>
        </is>
      </c>
      <c r="B15" s="23" t="inlineStr">
        <is>
          <t>Price</t>
        </is>
      </c>
      <c r="C15" s="23" t="inlineStr">
        <is>
          <t>vs Current</t>
        </is>
      </c>
      <c r="D15" s="23" t="inlineStr">
        <is>
          <t>Signal</t>
        </is>
      </c>
    </row>
    <row r="16">
      <c r="A16" s="55" t="inlineStr">
        <is>
          <t>5th</t>
        </is>
      </c>
      <c r="B16" s="264" t="inlineStr">
        <is>
          <t>$90.99</t>
        </is>
      </c>
      <c r="C16" s="264" t="inlineStr">
        <is>
          <t>-57.3%</t>
        </is>
      </c>
      <c r="D16" s="264" t="inlineStr">
        <is>
          <t>SELL</t>
        </is>
      </c>
    </row>
    <row r="17">
      <c r="A17" s="58" t="inlineStr">
        <is>
          <t>10th</t>
        </is>
      </c>
      <c r="B17" s="265" t="inlineStr">
        <is>
          <t>$101.82</t>
        </is>
      </c>
      <c r="C17" s="265" t="inlineStr">
        <is>
          <t>-52.2%</t>
        </is>
      </c>
      <c r="D17" s="265" t="inlineStr">
        <is>
          <t>SELL</t>
        </is>
      </c>
    </row>
    <row r="18">
      <c r="A18" s="55" t="inlineStr">
        <is>
          <t>25th</t>
        </is>
      </c>
      <c r="B18" s="264" t="inlineStr">
        <is>
          <t>$125.37</t>
        </is>
      </c>
      <c r="C18" s="264" t="inlineStr">
        <is>
          <t>-41.1%</t>
        </is>
      </c>
      <c r="D18" s="264" t="inlineStr">
        <is>
          <t>SELL</t>
        </is>
      </c>
      <c r="F18" t="inlineStr">
        <is>
          <t>Return Bucket</t>
        </is>
      </c>
      <c r="G18" t="inlineStr">
        <is>
          <t>Probability</t>
        </is>
      </c>
    </row>
    <row r="19">
      <c r="A19" s="58" t="inlineStr">
        <is>
          <t>50th</t>
        </is>
      </c>
      <c r="B19" s="265" t="inlineStr">
        <is>
          <t>$160.32</t>
        </is>
      </c>
      <c r="C19" s="265" t="inlineStr">
        <is>
          <t>-24.7%</t>
        </is>
      </c>
      <c r="D19" s="265" t="inlineStr">
        <is>
          <t>SELL</t>
        </is>
      </c>
      <c r="F19" t="inlineStr">
        <is>
          <t>&lt;-30%</t>
        </is>
      </c>
      <c r="G19" t="n">
        <v>0.1609</v>
      </c>
    </row>
    <row r="20">
      <c r="A20" s="55" t="inlineStr">
        <is>
          <t>75th</t>
        </is>
      </c>
      <c r="B20" s="266" t="inlineStr">
        <is>
          <t>$203.51</t>
        </is>
      </c>
      <c r="C20" s="266" t="inlineStr">
        <is>
          <t>-4.5%</t>
        </is>
      </c>
      <c r="D20" s="266" t="inlineStr">
        <is>
          <t>HOLD</t>
        </is>
      </c>
      <c r="F20" t="inlineStr">
        <is>
          <t>-30% to -20%</t>
        </is>
      </c>
      <c r="G20" t="n">
        <v>0.1817</v>
      </c>
    </row>
    <row r="21">
      <c r="A21" s="58" t="inlineStr">
        <is>
          <t>90th</t>
        </is>
      </c>
      <c r="B21" s="267" t="inlineStr">
        <is>
          <t>$253.10</t>
        </is>
      </c>
      <c r="C21" s="267" t="inlineStr">
        <is>
          <t>+18.8%</t>
        </is>
      </c>
      <c r="D21" s="267" t="inlineStr">
        <is>
          <t>BUY</t>
        </is>
      </c>
      <c r="F21" t="inlineStr">
        <is>
          <t>-20% to -10%</t>
        </is>
      </c>
      <c r="G21" t="n">
        <v>0.1817</v>
      </c>
    </row>
    <row r="22">
      <c r="A22" s="55" t="inlineStr">
        <is>
          <t>95th</t>
        </is>
      </c>
      <c r="B22" s="268" t="inlineStr">
        <is>
          <t>$287.40</t>
        </is>
      </c>
      <c r="C22" s="268" t="inlineStr">
        <is>
          <t>+34.9%</t>
        </is>
      </c>
      <c r="D22" s="268" t="inlineStr">
        <is>
          <t>BUY</t>
        </is>
      </c>
      <c r="F22" t="inlineStr">
        <is>
          <t>-10% to 0%</t>
        </is>
      </c>
      <c r="G22" t="n">
        <v>0.1611</v>
      </c>
    </row>
    <row r="23">
      <c r="F23" t="inlineStr">
        <is>
          <t>0% to +10%</t>
        </is>
      </c>
      <c r="G23" t="n">
        <v>0.1265</v>
      </c>
    </row>
    <row r="24">
      <c r="F24" t="inlineStr">
        <is>
          <t>+10% to +20%</t>
        </is>
      </c>
      <c r="G24" t="n">
        <v>0.08799999999999999</v>
      </c>
    </row>
    <row r="25">
      <c r="A25" s="63" t="inlineStr">
        <is>
          <t>RETURN DISTRIBUTION (Illustrative)</t>
        </is>
      </c>
      <c r="F25" t="inlineStr">
        <is>
          <t>+20% to +30%</t>
        </is>
      </c>
      <c r="G25" t="n">
        <v>0.0543</v>
      </c>
    </row>
    <row r="26">
      <c r="A26" s="23" t="inlineStr">
        <is>
          <t>Return Bucket</t>
        </is>
      </c>
      <c r="B26" s="23" t="inlineStr">
        <is>
          <t>Probability</t>
        </is>
      </c>
      <c r="C26" s="23" t="inlineStr">
        <is>
          <t>Bar</t>
        </is>
      </c>
      <c r="F26" t="inlineStr">
        <is>
          <t>+30% to +50%</t>
        </is>
      </c>
      <c r="G26" t="n">
        <v>0.0419</v>
      </c>
    </row>
    <row r="27">
      <c r="A27" s="55" t="inlineStr">
        <is>
          <t>&lt;-30%</t>
        </is>
      </c>
      <c r="B27" s="269" t="inlineStr">
        <is>
          <t>16.1%</t>
        </is>
      </c>
      <c r="C27" s="270" t="inlineStr">
        <is>
          <t>██████</t>
        </is>
      </c>
      <c r="F27" t="inlineStr">
        <is>
          <t>&gt;+50%</t>
        </is>
      </c>
      <c r="G27" t="n">
        <v>0.0039</v>
      </c>
    </row>
    <row r="28">
      <c r="A28" s="58" t="inlineStr">
        <is>
          <t>-30% to -20%</t>
        </is>
      </c>
      <c r="B28" s="271" t="inlineStr">
        <is>
          <t>18.2%</t>
        </is>
      </c>
      <c r="C28" s="272" t="inlineStr">
        <is>
          <t>███████</t>
        </is>
      </c>
    </row>
    <row r="29">
      <c r="A29" s="55" t="inlineStr">
        <is>
          <t>-20% to -10%</t>
        </is>
      </c>
      <c r="B29" s="269" t="inlineStr">
        <is>
          <t>18.2%</t>
        </is>
      </c>
      <c r="C29" s="270" t="inlineStr">
        <is>
          <t>███████</t>
        </is>
      </c>
    </row>
    <row r="30">
      <c r="A30" s="58" t="inlineStr">
        <is>
          <t>-10% to 0%</t>
        </is>
      </c>
      <c r="B30" s="271" t="inlineStr">
        <is>
          <t>16.1%</t>
        </is>
      </c>
      <c r="C30" s="272" t="inlineStr">
        <is>
          <t>██████</t>
        </is>
      </c>
    </row>
    <row r="31">
      <c r="A31" s="55" t="inlineStr">
        <is>
          <t>0% to +10%</t>
        </is>
      </c>
      <c r="B31" s="269" t="inlineStr">
        <is>
          <t>12.6%</t>
        </is>
      </c>
      <c r="C31" s="155" t="inlineStr">
        <is>
          <t>█████</t>
        </is>
      </c>
    </row>
    <row r="32">
      <c r="A32" s="58" t="inlineStr">
        <is>
          <t>+10% to +20%</t>
        </is>
      </c>
      <c r="B32" s="271" t="inlineStr">
        <is>
          <t>8.8%</t>
        </is>
      </c>
      <c r="C32" s="154" t="inlineStr">
        <is>
          <t>███</t>
        </is>
      </c>
    </row>
    <row r="33">
      <c r="A33" s="55" t="inlineStr">
        <is>
          <t>+20% to +30%</t>
        </is>
      </c>
      <c r="B33" s="269" t="inlineStr">
        <is>
          <t>5.4%</t>
        </is>
      </c>
      <c r="C33" s="149" t="inlineStr">
        <is>
          <t>██</t>
        </is>
      </c>
    </row>
    <row r="34">
      <c r="A34" s="58" t="inlineStr">
        <is>
          <t>+30% to +50%</t>
        </is>
      </c>
      <c r="B34" s="271" t="inlineStr">
        <is>
          <t>4.2%</t>
        </is>
      </c>
      <c r="C34" s="150" t="inlineStr">
        <is>
          <t>█</t>
        </is>
      </c>
    </row>
    <row r="35">
      <c r="A35" s="55" t="inlineStr">
        <is>
          <t>&gt;+50%</t>
        </is>
      </c>
      <c r="B35" s="269" t="inlineStr">
        <is>
          <t>0.4%</t>
        </is>
      </c>
      <c r="C35" s="149" t="inlineStr">
        <is>
          <t>█</t>
        </is>
      </c>
    </row>
    <row r="36"/>
    <row r="37"/>
    <row r="38"/>
    <row r="39"/>
    <row r="40"/>
    <row r="41"/>
    <row r="42"/>
    <row r="43"/>
    <row r="44"/>
    <row r="45"/>
    <row r="46"/>
    <row r="47"/>
    <row r="48"/>
    <row r="49"/>
    <row r="50"/>
  </sheetData>
  <mergeCells count="4">
    <mergeCell ref="A3:D3"/>
    <mergeCell ref="A25:D25"/>
    <mergeCell ref="A1:L1"/>
    <mergeCell ref="A14:D14"/>
  </mergeCells>
  <conditionalFormatting sqref="B5:B14">
    <cfRule type="colorScale" priority="1">
      <colorScale>
        <cfvo type="min"/>
        <cfvo type="percentile" val="50"/>
        <cfvo type="max"/>
        <color rgb="00C41E3A"/>
        <color rgb="00FFEB84"/>
        <color rgb="00375623"/>
      </colorScale>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worksheet>
</file>

<file path=xl/worksheets/sheet33.xml><?xml version="1.0" encoding="utf-8"?>
<worksheet xmlns="http://schemas.openxmlformats.org/spreadsheetml/2006/main">
  <sheetPr>
    <tabColor rgb="000071E3"/>
    <outlinePr summaryBelow="1" summaryRight="1"/>
    <pageSetUpPr fitToPage="1"/>
  </sheetPr>
  <dimension ref="A1:P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18" customWidth="1" min="3" max="3"/>
    <col width="20" customWidth="1" min="4" max="4"/>
    <col width="25" customWidth="1" min="5" max="5"/>
    <col width="14" customWidth="1" min="6" max="6"/>
    <col width="14" customWidth="1" min="7" max="7"/>
    <col width="14" customWidth="1" min="8" max="8"/>
    <col width="14" customWidth="1" min="9" max="9"/>
  </cols>
  <sheetData>
    <row r="1" ht="32" customHeight="1">
      <c r="A1" s="21" t="inlineStr">
        <is>
          <t xml:space="preserve">  Revenue Build    |    Bottom-Up Segment Revenue Model (5-Year)</t>
        </is>
      </c>
    </row>
    <row r="2"/>
    <row r="3">
      <c r="A3" s="23" t="inlineStr">
        <is>
          <t>Segment</t>
        </is>
      </c>
      <c r="B3" s="23" t="inlineStr">
        <is>
          <t>Mix %</t>
        </is>
      </c>
      <c r="C3" s="23" t="inlineStr">
        <is>
          <t>Current ($M)</t>
        </is>
      </c>
      <c r="D3" s="23" t="inlineStr">
        <is>
          <t>Growth</t>
        </is>
      </c>
      <c r="E3" s="23" t="inlineStr">
        <is>
          <t>Y1 ($M)</t>
        </is>
      </c>
      <c r="F3" s="23" t="inlineStr">
        <is>
          <t>Y2 ($M)</t>
        </is>
      </c>
      <c r="G3" s="23" t="inlineStr">
        <is>
          <t>Y3 ($M)</t>
        </is>
      </c>
      <c r="H3" s="23" t="inlineStr">
        <is>
          <t>Y4 ($M)</t>
        </is>
      </c>
      <c r="I3" s="23" t="inlineStr">
        <is>
          <t>Y5 ($M)</t>
        </is>
      </c>
    </row>
    <row r="4">
      <c r="A4" s="152" t="inlineStr">
        <is>
          <t>Core Product / Service</t>
        </is>
      </c>
      <c r="B4" s="269" t="inlineStr">
        <is>
          <t>65%</t>
        </is>
      </c>
      <c r="C4" s="269" t="n">
        <v>254172.8</v>
      </c>
      <c r="D4" s="269" t="inlineStr">
        <is>
          <t>8%</t>
        </is>
      </c>
      <c r="E4" s="269" t="n">
        <v>273235.7</v>
      </c>
      <c r="F4" s="269" t="n">
        <v>290654.5</v>
      </c>
      <c r="G4" s="269" t="n">
        <v>306404.3</v>
      </c>
      <c r="H4" s="269" t="n">
        <v>320517.1</v>
      </c>
      <c r="I4" s="269" t="n">
        <v>333065.5</v>
      </c>
    </row>
    <row r="5">
      <c r="A5" s="273" t="inlineStr">
        <is>
          <t>Adjacent / Upsell</t>
        </is>
      </c>
      <c r="B5" s="271" t="inlineStr">
        <is>
          <t>20%</t>
        </is>
      </c>
      <c r="C5" s="271" t="n">
        <v>78207</v>
      </c>
      <c r="D5" s="271" t="inlineStr">
        <is>
          <t>10%</t>
        </is>
      </c>
      <c r="E5" s="271" t="n">
        <v>85832.2</v>
      </c>
      <c r="F5" s="271" t="n">
        <v>92945.5</v>
      </c>
      <c r="G5" s="271" t="n">
        <v>99493</v>
      </c>
      <c r="H5" s="271" t="n">
        <v>105450.3</v>
      </c>
      <c r="I5" s="271" t="n">
        <v>110817.3</v>
      </c>
    </row>
    <row r="6">
      <c r="A6" s="152" t="inlineStr">
        <is>
          <t>International</t>
        </is>
      </c>
      <c r="B6" s="269" t="inlineStr">
        <is>
          <t>10%</t>
        </is>
      </c>
      <c r="C6" s="269" t="n">
        <v>39103.5</v>
      </c>
      <c r="D6" s="269" t="inlineStr">
        <is>
          <t>6%</t>
        </is>
      </c>
      <c r="E6" s="269" t="n">
        <v>41449.7</v>
      </c>
      <c r="F6" s="269" t="n">
        <v>43563.6</v>
      </c>
      <c r="G6" s="269" t="n">
        <v>45452.1</v>
      </c>
      <c r="H6" s="269" t="n">
        <v>47126.9</v>
      </c>
      <c r="I6" s="269" t="n">
        <v>48603</v>
      </c>
    </row>
    <row r="7">
      <c r="A7" s="273" t="inlineStr">
        <is>
          <t>Other / Emerging</t>
        </is>
      </c>
      <c r="B7" s="271" t="inlineStr">
        <is>
          <t>5%</t>
        </is>
      </c>
      <c r="C7" s="271" t="n">
        <v>19551.8</v>
      </c>
      <c r="D7" s="271" t="inlineStr">
        <is>
          <t>12%</t>
        </is>
      </c>
      <c r="E7" s="271" t="n">
        <v>21898</v>
      </c>
      <c r="F7" s="271" t="n">
        <v>24131.6</v>
      </c>
      <c r="G7" s="271" t="n">
        <v>26223.8</v>
      </c>
      <c r="H7" s="271" t="n">
        <v>28156.3</v>
      </c>
      <c r="I7" s="271" t="n">
        <v>29920.1</v>
      </c>
    </row>
    <row r="8">
      <c r="A8" s="76" t="inlineStr">
        <is>
          <t>TOTAL REVENUE</t>
        </is>
      </c>
    </row>
    <row r="9">
      <c r="A9" s="86" t="inlineStr">
        <is>
          <t>All Segments</t>
        </is>
      </c>
      <c r="B9" s="274" t="inlineStr">
        <is>
          <t>100%</t>
        </is>
      </c>
      <c r="C9" s="274" t="n">
        <v>391035</v>
      </c>
      <c r="D9" s="274" t="inlineStr"/>
      <c r="E9" s="274" t="n">
        <v>422415.6</v>
      </c>
      <c r="F9" s="274" t="n">
        <v>451295.2</v>
      </c>
      <c r="G9" s="274" t="n">
        <v>477573.2</v>
      </c>
      <c r="H9" s="274" t="n">
        <v>501250.7</v>
      </c>
      <c r="I9" s="274" t="n">
        <v>522405.8</v>
      </c>
    </row>
    <row r="10"/>
    <row r="11">
      <c r="A11" s="262" t="inlineStr">
        <is>
          <t>Implied 5-Year Revenue CAGR</t>
        </is>
      </c>
      <c r="B11" s="275" t="inlineStr">
        <is>
          <t>6.0%</t>
        </is>
      </c>
    </row>
    <row r="12"/>
    <row r="13">
      <c r="A13" s="63" t="inlineStr">
        <is>
          <t>SEGMENT ASSUMPTIONS</t>
        </is>
      </c>
    </row>
    <row r="14">
      <c r="A14" s="23" t="inlineStr">
        <is>
          <t>Segment</t>
        </is>
      </c>
      <c r="B14" s="23" t="inlineStr">
        <is>
          <t>Price Proxy</t>
        </is>
      </c>
      <c r="C14" s="23" t="inlineStr">
        <is>
          <t>Volume Proxy</t>
        </is>
      </c>
      <c r="D14" s="23" t="inlineStr">
        <is>
          <t>Growth Driver</t>
        </is>
      </c>
      <c r="E14" s="23" t="inlineStr">
        <is>
          <t>Notes</t>
        </is>
      </c>
    </row>
    <row r="15">
      <c r="A15" s="55" t="inlineStr">
        <is>
          <t>Core Product / Service</t>
        </is>
      </c>
      <c r="B15" s="55" t="inlineStr">
        <is>
          <t>N/A</t>
        </is>
      </c>
      <c r="C15" s="55" t="inlineStr">
        <is>
          <t>N/A</t>
        </is>
      </c>
      <c r="D15" s="55" t="inlineStr">
        <is>
          <t>Organic + pricing</t>
        </is>
      </c>
      <c r="E15" s="55" t="inlineStr"/>
    </row>
    <row r="16">
      <c r="A16" s="58" t="inlineStr">
        <is>
          <t>Adjacent / Upsell</t>
        </is>
      </c>
      <c r="B16" s="58" t="inlineStr">
        <is>
          <t>N/A</t>
        </is>
      </c>
      <c r="C16" s="58" t="inlineStr">
        <is>
          <t>N/A</t>
        </is>
      </c>
      <c r="D16" s="58" t="inlineStr">
        <is>
          <t>Organic + pricing</t>
        </is>
      </c>
      <c r="E16" s="58" t="inlineStr"/>
    </row>
    <row r="17">
      <c r="A17" s="55" t="inlineStr">
        <is>
          <t>International</t>
        </is>
      </c>
      <c r="B17" s="55" t="inlineStr">
        <is>
          <t>N/A</t>
        </is>
      </c>
      <c r="C17" s="55" t="inlineStr">
        <is>
          <t>N/A</t>
        </is>
      </c>
      <c r="D17" s="55" t="inlineStr">
        <is>
          <t>Organic + pricing</t>
        </is>
      </c>
      <c r="E17" s="55" t="inlineStr"/>
    </row>
    <row r="18">
      <c r="A18" s="58" t="inlineStr">
        <is>
          <t>Other / Emerging</t>
        </is>
      </c>
      <c r="B18" s="58" t="inlineStr">
        <is>
          <t>N/A</t>
        </is>
      </c>
      <c r="C18" s="58" t="inlineStr">
        <is>
          <t>N/A</t>
        </is>
      </c>
      <c r="D18" s="58" t="inlineStr">
        <is>
          <t>Organic + pricing</t>
        </is>
      </c>
      <c r="E18" s="58" t="inlineStr"/>
    </row>
    <row r="19"/>
    <row r="20">
      <c r="L20" t="inlineStr">
        <is>
          <t>Year</t>
        </is>
      </c>
      <c r="M20" t="inlineStr">
        <is>
          <t>Core Product / Ser</t>
        </is>
      </c>
      <c r="N20" t="inlineStr">
        <is>
          <t>Adjacent / Upsell</t>
        </is>
      </c>
      <c r="O20" t="inlineStr">
        <is>
          <t>International</t>
        </is>
      </c>
      <c r="P20" t="inlineStr">
        <is>
          <t>Other / Emerging</t>
        </is>
      </c>
    </row>
    <row r="21">
      <c r="L21" t="inlineStr">
        <is>
          <t>Current</t>
        </is>
      </c>
      <c r="M21" t="n">
        <v>254.17</v>
      </c>
      <c r="N21" t="n">
        <v>78.20999999999999</v>
      </c>
      <c r="O21" t="n">
        <v>39.1</v>
      </c>
      <c r="P21" t="n">
        <v>19.55</v>
      </c>
    </row>
    <row r="22">
      <c r="L22" t="inlineStr">
        <is>
          <t>Y1</t>
        </is>
      </c>
      <c r="M22" t="n">
        <v>273.24</v>
      </c>
      <c r="N22" t="n">
        <v>85.83</v>
      </c>
      <c r="O22" t="n">
        <v>41.45</v>
      </c>
      <c r="P22" t="n">
        <v>21.9</v>
      </c>
    </row>
    <row r="23">
      <c r="L23" t="inlineStr">
        <is>
          <t>Y2</t>
        </is>
      </c>
      <c r="M23" t="n">
        <v>290.65</v>
      </c>
      <c r="N23" t="n">
        <v>92.95</v>
      </c>
      <c r="O23" t="n">
        <v>43.56</v>
      </c>
      <c r="P23" t="n">
        <v>24.13</v>
      </c>
    </row>
    <row r="24">
      <c r="L24" t="inlineStr">
        <is>
          <t>Y3</t>
        </is>
      </c>
      <c r="M24" t="n">
        <v>306.4</v>
      </c>
      <c r="N24" t="n">
        <v>99.48999999999999</v>
      </c>
      <c r="O24" t="n">
        <v>45.45</v>
      </c>
      <c r="P24" t="n">
        <v>26.22</v>
      </c>
    </row>
    <row r="25">
      <c r="L25" t="inlineStr">
        <is>
          <t>Y4</t>
        </is>
      </c>
      <c r="M25" t="n">
        <v>320.52</v>
      </c>
      <c r="N25" t="n">
        <v>105.45</v>
      </c>
      <c r="O25" t="n">
        <v>47.13</v>
      </c>
      <c r="P25" t="n">
        <v>28.16</v>
      </c>
    </row>
    <row r="26">
      <c r="L26" t="inlineStr">
        <is>
          <t>Y5</t>
        </is>
      </c>
      <c r="M26" t="n">
        <v>333.07</v>
      </c>
      <c r="N26" t="n">
        <v>110.82</v>
      </c>
      <c r="O26" t="n">
        <v>48.6</v>
      </c>
      <c r="P26" t="n">
        <v>29.92</v>
      </c>
    </row>
    <row r="27"/>
    <row r="28"/>
    <row r="29"/>
    <row r="30"/>
    <row r="31"/>
    <row r="32"/>
    <row r="33"/>
    <row r="34"/>
    <row r="35"/>
    <row r="36"/>
    <row r="37"/>
    <row r="38"/>
    <row r="39"/>
    <row r="40"/>
    <row r="41"/>
    <row r="42"/>
    <row r="43"/>
    <row r="44"/>
    <row r="45"/>
    <row r="46"/>
    <row r="47"/>
    <row r="48"/>
    <row r="49"/>
    <row r="50"/>
  </sheetData>
  <mergeCells count="3">
    <mergeCell ref="A8:I8"/>
    <mergeCell ref="A1:L1"/>
    <mergeCell ref="A13:E13"/>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worksheet>
</file>

<file path=xl/worksheets/sheet34.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14" customWidth="1" min="3" max="3"/>
    <col width="14" customWidth="1" min="4" max="4"/>
    <col width="14" customWidth="1" min="5" max="5"/>
    <col width="14" customWidth="1" min="6" max="6"/>
    <col width="15" customWidth="1" min="7" max="7"/>
  </cols>
  <sheetData>
    <row r="1" ht="32" customHeight="1">
      <c r="A1" s="21" t="inlineStr">
        <is>
          <t xml:space="preserve">  Historical Trading Chart    |    Price History · 52-Week Range · Volume Context</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52-WEEK TRADING RANGE</t>
        </is>
      </c>
      <c r="J3" t="inlineStr">
        <is>
          <t>Year</t>
        </is>
      </c>
      <c r="K3" t="inlineStr">
        <is>
          <t>Revenue ($B)</t>
        </is>
      </c>
      <c r="L3" t="inlineStr">
        <is>
          <t>FCF ($B)</t>
        </is>
      </c>
      <c r="M3" t="inlineStr">
        <is>
          <t>Net Income ($B)</t>
        </is>
      </c>
    </row>
    <row r="4">
      <c r="A4" s="260" t="inlineStr">
        <is>
          <t>52-Week Low</t>
        </is>
      </c>
      <c r="B4" s="261" t="inlineStr">
        <is>
          <t>$132.06</t>
        </is>
      </c>
      <c r="J4" t="inlineStr">
        <is>
          <t>2020</t>
        </is>
      </c>
      <c r="K4" t="n">
        <v>274.51</v>
      </c>
      <c r="L4" t="n">
        <v>73.36</v>
      </c>
      <c r="M4" t="n">
        <v>57.41</v>
      </c>
    </row>
    <row r="5">
      <c r="A5" s="262" t="inlineStr">
        <is>
          <t>Current Price</t>
        </is>
      </c>
      <c r="B5" s="263" t="inlineStr">
        <is>
          <t>$213.00</t>
        </is>
      </c>
      <c r="J5" t="inlineStr">
        <is>
          <t>2021</t>
        </is>
      </c>
      <c r="K5" t="n">
        <v>365.82</v>
      </c>
      <c r="L5" t="n">
        <v>92.95</v>
      </c>
      <c r="M5" t="n">
        <v>94.68000000000001</v>
      </c>
    </row>
    <row r="6">
      <c r="A6" s="260" t="inlineStr">
        <is>
          <t>52-Week High</t>
        </is>
      </c>
      <c r="B6" s="261" t="inlineStr">
        <is>
          <t>$293.94</t>
        </is>
      </c>
      <c r="J6" t="inlineStr">
        <is>
          <t>2022</t>
        </is>
      </c>
      <c r="K6" t="n">
        <v>394.33</v>
      </c>
      <c r="L6" t="n">
        <v>111.44</v>
      </c>
      <c r="M6" t="n">
        <v>99.8</v>
      </c>
    </row>
    <row r="7">
      <c r="A7" s="262" t="inlineStr">
        <is>
          <t>Position in Range</t>
        </is>
      </c>
      <c r="B7" s="263" t="inlineStr">
        <is>
          <t>50%</t>
        </is>
      </c>
      <c r="J7" t="inlineStr">
        <is>
          <t>2023</t>
        </is>
      </c>
      <c r="K7" t="n">
        <v>383.29</v>
      </c>
      <c r="L7" t="n">
        <v>99.58</v>
      </c>
      <c r="M7" t="n">
        <v>97</v>
      </c>
    </row>
    <row r="8">
      <c r="A8" s="260" t="inlineStr">
        <is>
          <t>% from 52w Low</t>
        </is>
      </c>
      <c r="B8" s="261" t="inlineStr">
        <is>
          <t>+61.3%</t>
        </is>
      </c>
      <c r="J8" t="inlineStr">
        <is>
          <t>2024</t>
        </is>
      </c>
      <c r="K8" t="n">
        <v>391.04</v>
      </c>
      <c r="L8" t="n">
        <v>108.81</v>
      </c>
      <c r="M8" t="n">
        <v>93.73999999999999</v>
      </c>
    </row>
    <row r="9">
      <c r="A9" s="262" t="inlineStr">
        <is>
          <t>% from 52w High</t>
        </is>
      </c>
      <c r="B9" s="263" t="inlineStr">
        <is>
          <t>-27.5%</t>
        </is>
      </c>
    </row>
    <row r="10"/>
    <row r="11">
      <c r="A11" s="63" t="inlineStr">
        <is>
          <t>PRICE HISTORY (Monthly)</t>
        </is>
      </c>
    </row>
    <row r="12">
      <c r="A12" s="23" t="inlineStr">
        <is>
          <t>Period</t>
        </is>
      </c>
      <c r="B12" s="23" t="inlineStr">
        <is>
          <t>Open</t>
        </is>
      </c>
      <c r="C12" s="23" t="inlineStr">
        <is>
          <t>High</t>
        </is>
      </c>
      <c r="D12" s="23" t="inlineStr">
        <is>
          <t>Low</t>
        </is>
      </c>
      <c r="E12" s="23" t="inlineStr">
        <is>
          <t>Close</t>
        </is>
      </c>
      <c r="F12" s="23" t="inlineStr">
        <is>
          <t>Vol (M)</t>
        </is>
      </c>
    </row>
    <row r="13">
      <c r="A13" s="276" t="inlineStr">
        <is>
          <t>2024-07</t>
        </is>
      </c>
      <c r="B13" s="277" t="inlineStr">
        <is>
          <t>$219.05</t>
        </is>
      </c>
      <c r="C13" s="277" t="inlineStr">
        <is>
          <t>$232.46</t>
        </is>
      </c>
      <c r="D13" s="277" t="inlineStr">
        <is>
          <t>$214.58</t>
        </is>
      </c>
      <c r="E13" s="277" t="inlineStr">
        <is>
          <t>$223.52</t>
        </is>
      </c>
      <c r="F13" s="277" t="inlineStr">
        <is>
          <t>2.0</t>
        </is>
      </c>
    </row>
    <row r="14">
      <c r="A14" s="278" t="inlineStr">
        <is>
          <t>2024-08</t>
        </is>
      </c>
      <c r="B14" s="279" t="inlineStr">
        <is>
          <t>$233.40</t>
        </is>
      </c>
      <c r="C14" s="279" t="inlineStr">
        <is>
          <t>$247.69</t>
        </is>
      </c>
      <c r="D14" s="279" t="inlineStr">
        <is>
          <t>$228.63</t>
        </is>
      </c>
      <c r="E14" s="279" t="inlineStr">
        <is>
          <t>$238.16</t>
        </is>
      </c>
      <c r="F14" s="279" t="inlineStr">
        <is>
          <t>10.0</t>
        </is>
      </c>
    </row>
    <row r="15">
      <c r="A15" s="276" t="inlineStr">
        <is>
          <t>2024-09</t>
        </is>
      </c>
      <c r="B15" s="277" t="inlineStr">
        <is>
          <t>$238.14</t>
        </is>
      </c>
      <c r="C15" s="277" t="inlineStr">
        <is>
          <t>$252.72</t>
        </is>
      </c>
      <c r="D15" s="277" t="inlineStr">
        <is>
          <t>$233.28</t>
        </is>
      </c>
      <c r="E15" s="277" t="inlineStr">
        <is>
          <t>$243.00</t>
        </is>
      </c>
      <c r="F15" s="277" t="inlineStr">
        <is>
          <t>8.0</t>
        </is>
      </c>
    </row>
    <row r="16">
      <c r="A16" s="278" t="inlineStr">
        <is>
          <t>2024-10</t>
        </is>
      </c>
      <c r="B16" s="279" t="inlineStr">
        <is>
          <t>$239.97</t>
        </is>
      </c>
      <c r="C16" s="279" t="inlineStr">
        <is>
          <t>$254.66</t>
        </is>
      </c>
      <c r="D16" s="279" t="inlineStr">
        <is>
          <t>$235.07</t>
        </is>
      </c>
      <c r="E16" s="279" t="inlineStr">
        <is>
          <t>$244.87</t>
        </is>
      </c>
      <c r="F16" s="279" t="inlineStr">
        <is>
          <t>6.0</t>
        </is>
      </c>
    </row>
    <row r="17">
      <c r="A17" s="276" t="inlineStr">
        <is>
          <t>2024-11</t>
        </is>
      </c>
      <c r="B17" s="277" t="inlineStr">
        <is>
          <t>$247.20</t>
        </is>
      </c>
      <c r="C17" s="277" t="inlineStr">
        <is>
          <t>$262.33</t>
        </is>
      </c>
      <c r="D17" s="277" t="inlineStr">
        <is>
          <t>$242.15</t>
        </is>
      </c>
      <c r="E17" s="277" t="inlineStr">
        <is>
          <t>$252.24</t>
        </is>
      </c>
      <c r="F17" s="277" t="inlineStr">
        <is>
          <t>2.0</t>
        </is>
      </c>
    </row>
    <row r="18">
      <c r="A18" s="278" t="inlineStr">
        <is>
          <t>2024-12</t>
        </is>
      </c>
      <c r="B18" s="279" t="inlineStr">
        <is>
          <t>$254.71</t>
        </is>
      </c>
      <c r="C18" s="279" t="inlineStr">
        <is>
          <t>$270.30</t>
        </is>
      </c>
      <c r="D18" s="279" t="inlineStr">
        <is>
          <t>$249.51</t>
        </is>
      </c>
      <c r="E18" s="279" t="inlineStr">
        <is>
          <t>$259.90</t>
        </is>
      </c>
      <c r="F18" s="279" t="inlineStr">
        <is>
          <t>4.0</t>
        </is>
      </c>
    </row>
    <row r="19">
      <c r="A19" s="276" t="inlineStr">
        <is>
          <t>2025-01</t>
        </is>
      </c>
      <c r="B19" s="277" t="inlineStr">
        <is>
          <t>$244.74</t>
        </is>
      </c>
      <c r="C19" s="277" t="inlineStr">
        <is>
          <t>$259.73</t>
        </is>
      </c>
      <c r="D19" s="277" t="inlineStr">
        <is>
          <t>$239.75</t>
        </is>
      </c>
      <c r="E19" s="277" t="inlineStr">
        <is>
          <t>$249.74</t>
        </is>
      </c>
      <c r="F19" s="277" t="inlineStr">
        <is>
          <t>10.0</t>
        </is>
      </c>
    </row>
    <row r="20">
      <c r="A20" s="278" t="inlineStr">
        <is>
          <t>2025-02</t>
        </is>
      </c>
      <c r="B20" s="279" t="inlineStr">
        <is>
          <t>$231.88</t>
        </is>
      </c>
      <c r="C20" s="279" t="inlineStr">
        <is>
          <t>$246.08</t>
        </is>
      </c>
      <c r="D20" s="279" t="inlineStr">
        <is>
          <t>$227.15</t>
        </is>
      </c>
      <c r="E20" s="279" t="inlineStr">
        <is>
          <t>$236.61</t>
        </is>
      </c>
      <c r="F20" s="279" t="inlineStr">
        <is>
          <t>5.0</t>
        </is>
      </c>
    </row>
    <row r="21">
      <c r="A21" s="276" t="inlineStr">
        <is>
          <t>2025-03</t>
        </is>
      </c>
      <c r="B21" s="277" t="inlineStr">
        <is>
          <t>$230.89</t>
        </is>
      </c>
      <c r="C21" s="277" t="inlineStr">
        <is>
          <t>$245.02</t>
        </is>
      </c>
      <c r="D21" s="277" t="inlineStr">
        <is>
          <t>$226.18</t>
        </is>
      </c>
      <c r="E21" s="277" t="inlineStr">
        <is>
          <t>$235.60</t>
        </is>
      </c>
      <c r="F21" s="277" t="inlineStr">
        <is>
          <t>4.0</t>
        </is>
      </c>
    </row>
    <row r="22">
      <c r="A22" s="278" t="inlineStr">
        <is>
          <t>2025-04</t>
        </is>
      </c>
      <c r="B22" s="279" t="inlineStr">
        <is>
          <t>$243.98</t>
        </is>
      </c>
      <c r="C22" s="279" t="inlineStr">
        <is>
          <t>$258.92</t>
        </is>
      </c>
      <c r="D22" s="279" t="inlineStr">
        <is>
          <t>$239.00</t>
        </is>
      </c>
      <c r="E22" s="279" t="inlineStr">
        <is>
          <t>$248.96</t>
        </is>
      </c>
      <c r="F22" s="279" t="inlineStr">
        <is>
          <t>7.0</t>
        </is>
      </c>
    </row>
    <row r="23">
      <c r="A23" s="276" t="inlineStr">
        <is>
          <t>2025-05</t>
        </is>
      </c>
      <c r="B23" s="277" t="inlineStr">
        <is>
          <t>$231.90</t>
        </is>
      </c>
      <c r="C23" s="277" t="inlineStr">
        <is>
          <t>$246.10</t>
        </is>
      </c>
      <c r="D23" s="277" t="inlineStr">
        <is>
          <t>$227.17</t>
        </is>
      </c>
      <c r="E23" s="277" t="inlineStr">
        <is>
          <t>$236.63</t>
        </is>
      </c>
      <c r="F23" s="277" t="inlineStr">
        <is>
          <t>1.0</t>
        </is>
      </c>
    </row>
    <row r="24">
      <c r="A24" s="278" t="inlineStr">
        <is>
          <t>2025-06</t>
        </is>
      </c>
      <c r="B24" s="279" t="inlineStr">
        <is>
          <t>$249.20</t>
        </is>
      </c>
      <c r="C24" s="279" t="inlineStr">
        <is>
          <t>$264.46</t>
        </is>
      </c>
      <c r="D24" s="279" t="inlineStr">
        <is>
          <t>$244.12</t>
        </is>
      </c>
      <c r="E24" s="279" t="inlineStr">
        <is>
          <t>$254.29</t>
        </is>
      </c>
      <c r="F24" s="279" t="inlineStr">
        <is>
          <t>9.0</t>
        </is>
      </c>
    </row>
    <row r="25">
      <c r="A25" s="276" t="inlineStr">
        <is>
          <t>2025-07</t>
        </is>
      </c>
      <c r="B25" s="277" t="inlineStr">
        <is>
          <t>$241.52</t>
        </is>
      </c>
      <c r="C25" s="277" t="inlineStr">
        <is>
          <t>$256.31</t>
        </is>
      </c>
      <c r="D25" s="277" t="inlineStr">
        <is>
          <t>$236.59</t>
        </is>
      </c>
      <c r="E25" s="277" t="inlineStr">
        <is>
          <t>$246.45</t>
        </is>
      </c>
      <c r="F25" s="277" t="inlineStr">
        <is>
          <t>6.0</t>
        </is>
      </c>
    </row>
    <row r="26">
      <c r="A26" s="278" t="inlineStr">
        <is>
          <t>2025-08</t>
        </is>
      </c>
      <c r="B26" s="279" t="inlineStr">
        <is>
          <t>$232.61</t>
        </is>
      </c>
      <c r="C26" s="279" t="inlineStr">
        <is>
          <t>$246.85</t>
        </is>
      </c>
      <c r="D26" s="279" t="inlineStr">
        <is>
          <t>$227.86</t>
        </is>
      </c>
      <c r="E26" s="279" t="inlineStr">
        <is>
          <t>$237.35</t>
        </is>
      </c>
      <c r="F26" s="279" t="inlineStr">
        <is>
          <t>2.0</t>
        </is>
      </c>
    </row>
    <row r="27">
      <c r="A27" s="276" t="inlineStr">
        <is>
          <t>2025-09</t>
        </is>
      </c>
      <c r="B27" s="277" t="inlineStr">
        <is>
          <t>$236.62</t>
        </is>
      </c>
      <c r="C27" s="277" t="inlineStr">
        <is>
          <t>$251.11</t>
        </is>
      </c>
      <c r="D27" s="277" t="inlineStr">
        <is>
          <t>$231.79</t>
        </is>
      </c>
      <c r="E27" s="277" t="inlineStr">
        <is>
          <t>$241.45</t>
        </is>
      </c>
      <c r="F27" s="277" t="inlineStr">
        <is>
          <t>10.0</t>
        </is>
      </c>
    </row>
    <row r="28">
      <c r="A28" s="278" t="inlineStr">
        <is>
          <t>2025-10</t>
        </is>
      </c>
      <c r="B28" s="279" t="inlineStr">
        <is>
          <t>$237.87</t>
        </is>
      </c>
      <c r="C28" s="279" t="inlineStr">
        <is>
          <t>$252.43</t>
        </is>
      </c>
      <c r="D28" s="279" t="inlineStr">
        <is>
          <t>$233.01</t>
        </is>
      </c>
      <c r="E28" s="279" t="inlineStr">
        <is>
          <t>$242.72</t>
        </is>
      </c>
      <c r="F28" s="279" t="inlineStr">
        <is>
          <t>6.0</t>
        </is>
      </c>
    </row>
    <row r="29">
      <c r="A29" s="276" t="inlineStr">
        <is>
          <t>2025-11</t>
        </is>
      </c>
      <c r="B29" s="277" t="inlineStr">
        <is>
          <t>$227.91</t>
        </is>
      </c>
      <c r="C29" s="277" t="inlineStr">
        <is>
          <t>$241.87</t>
        </is>
      </c>
      <c r="D29" s="277" t="inlineStr">
        <is>
          <t>$223.26</t>
        </is>
      </c>
      <c r="E29" s="277" t="inlineStr">
        <is>
          <t>$232.57</t>
        </is>
      </c>
      <c r="F29" s="277" t="inlineStr">
        <is>
          <t>8.0</t>
        </is>
      </c>
    </row>
    <row r="30">
      <c r="A30" s="278" t="inlineStr">
        <is>
          <t>2025-12</t>
        </is>
      </c>
      <c r="B30" s="279" t="inlineStr">
        <is>
          <t>$229.07</t>
        </is>
      </c>
      <c r="C30" s="279" t="inlineStr">
        <is>
          <t>$243.10</t>
        </is>
      </c>
      <c r="D30" s="279" t="inlineStr">
        <is>
          <t>$224.40</t>
        </is>
      </c>
      <c r="E30" s="279" t="inlineStr">
        <is>
          <t>$233.75</t>
        </is>
      </c>
      <c r="F30" s="279" t="inlineStr">
        <is>
          <t>1.0</t>
        </is>
      </c>
    </row>
    <row r="31">
      <c r="A31" s="276" t="inlineStr">
        <is>
          <t>2026-01</t>
        </is>
      </c>
      <c r="B31" s="277" t="inlineStr">
        <is>
          <t>$223.12</t>
        </is>
      </c>
      <c r="C31" s="277" t="inlineStr">
        <is>
          <t>$236.78</t>
        </is>
      </c>
      <c r="D31" s="277" t="inlineStr">
        <is>
          <t>$218.57</t>
        </is>
      </c>
      <c r="E31" s="277" t="inlineStr">
        <is>
          <t>$227.68</t>
        </is>
      </c>
      <c r="F31" s="277" t="inlineStr">
        <is>
          <t>2.0</t>
        </is>
      </c>
    </row>
    <row r="32">
      <c r="A32" s="278" t="inlineStr">
        <is>
          <t>2026-02</t>
        </is>
      </c>
      <c r="B32" s="279" t="inlineStr">
        <is>
          <t>$232.30</t>
        </is>
      </c>
      <c r="C32" s="279" t="inlineStr">
        <is>
          <t>$246.53</t>
        </is>
      </c>
      <c r="D32" s="279" t="inlineStr">
        <is>
          <t>$227.56</t>
        </is>
      </c>
      <c r="E32" s="279" t="inlineStr">
        <is>
          <t>$237.04</t>
        </is>
      </c>
      <c r="F32" s="279" t="inlineStr">
        <is>
          <t>4.0</t>
        </is>
      </c>
    </row>
    <row r="33">
      <c r="A33" s="276" t="inlineStr">
        <is>
          <t>2026-03</t>
        </is>
      </c>
      <c r="B33" s="277" t="inlineStr">
        <is>
          <t>$231.50</t>
        </is>
      </c>
      <c r="C33" s="277" t="inlineStr">
        <is>
          <t>$245.68</t>
        </is>
      </c>
      <c r="D33" s="277" t="inlineStr">
        <is>
          <t>$226.78</t>
        </is>
      </c>
      <c r="E33" s="277" t="inlineStr">
        <is>
          <t>$236.23</t>
        </is>
      </c>
      <c r="F33" s="277" t="inlineStr">
        <is>
          <t>5.0</t>
        </is>
      </c>
    </row>
    <row r="34">
      <c r="A34" s="278" t="inlineStr">
        <is>
          <t>2026-04</t>
        </is>
      </c>
      <c r="B34" s="279" t="inlineStr">
        <is>
          <t>$245.17</t>
        </is>
      </c>
      <c r="C34" s="279" t="inlineStr">
        <is>
          <t>$260.18</t>
        </is>
      </c>
      <c r="D34" s="279" t="inlineStr">
        <is>
          <t>$240.16</t>
        </is>
      </c>
      <c r="E34" s="279" t="inlineStr">
        <is>
          <t>$250.17</t>
        </is>
      </c>
      <c r="F34" s="279" t="inlineStr">
        <is>
          <t>6.0</t>
        </is>
      </c>
    </row>
    <row r="35">
      <c r="A35" s="276" t="inlineStr">
        <is>
          <t>2026-05</t>
        </is>
      </c>
      <c r="B35" s="277" t="inlineStr">
        <is>
          <t>$231.91</t>
        </is>
      </c>
      <c r="C35" s="277" t="inlineStr">
        <is>
          <t>$246.10</t>
        </is>
      </c>
      <c r="D35" s="277" t="inlineStr">
        <is>
          <t>$227.17</t>
        </is>
      </c>
      <c r="E35" s="277" t="inlineStr">
        <is>
          <t>$236.64</t>
        </is>
      </c>
      <c r="F35" s="277" t="inlineStr">
        <is>
          <t>3.0</t>
        </is>
      </c>
    </row>
    <row r="36">
      <c r="A36" s="278" t="inlineStr">
        <is>
          <t>2026-06</t>
        </is>
      </c>
      <c r="B36" s="279" t="inlineStr">
        <is>
          <t>$232.72</t>
        </is>
      </c>
      <c r="C36" s="279" t="inlineStr">
        <is>
          <t>$246.97</t>
        </is>
      </c>
      <c r="D36" s="279" t="inlineStr">
        <is>
          <t>$227.97</t>
        </is>
      </c>
      <c r="E36" s="279" t="inlineStr">
        <is>
          <t>$237.47</t>
        </is>
      </c>
      <c r="F36" s="279" t="inlineStr">
        <is>
          <t>2.0</t>
        </is>
      </c>
    </row>
    <row r="37"/>
    <row r="38"/>
    <row r="39"/>
    <row r="40"/>
    <row r="41"/>
    <row r="42"/>
    <row r="43"/>
    <row r="44"/>
    <row r="45"/>
    <row r="46"/>
    <row r="47"/>
    <row r="48"/>
    <row r="49"/>
    <row r="50"/>
  </sheetData>
  <mergeCells count="3">
    <mergeCell ref="A3:F3"/>
    <mergeCell ref="A11:E11"/>
    <mergeCell ref="A1:L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1"/>
</worksheet>
</file>

<file path=xl/worksheets/sheet35.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2" customWidth="1" min="1" max="1"/>
    <col width="20" customWidth="1" min="2" max="2"/>
    <col width="20" customWidth="1" min="3" max="3"/>
    <col width="20" customWidth="1" min="4" max="4"/>
  </cols>
  <sheetData>
    <row r="1" ht="32" customHeight="1">
      <c r="A1" s="21" t="inlineStr">
        <is>
          <t xml:space="preserve">  Dividend Discount Model (DDM)    |    Gordon Growth + 2-Stage Dividend Valuation</t>
        </is>
      </c>
    </row>
    <row r="2"/>
    <row r="3">
      <c r="A3" s="76" t="inlineStr">
        <is>
          <t>DDM INPUTS</t>
        </is>
      </c>
    </row>
    <row r="4">
      <c r="A4" s="260" t="inlineStr">
        <is>
          <t>Is Dividend Payer</t>
        </is>
      </c>
      <c r="B4" s="280" t="inlineStr">
        <is>
          <t>YES</t>
        </is>
      </c>
    </row>
    <row r="5">
      <c r="A5" s="78" t="inlineStr">
        <is>
          <t>Dividend Per Share (DPS)</t>
        </is>
      </c>
      <c r="B5" s="281" t="n">
        <v>0.99</v>
      </c>
    </row>
    <row r="6">
      <c r="A6" s="78" t="inlineStr">
        <is>
          <t>Earnings Per Share (EPS)</t>
        </is>
      </c>
      <c r="B6" s="282" t="n">
        <v>6.345</v>
      </c>
    </row>
    <row r="7">
      <c r="A7" s="78" t="inlineStr">
        <is>
          <t>Payout Ratio</t>
        </is>
      </c>
      <c r="B7" s="178" t="n">
        <v>0.156</v>
      </c>
    </row>
    <row r="8">
      <c r="A8" s="78" t="inlineStr">
        <is>
          <t>Dividend Yield</t>
        </is>
      </c>
      <c r="B8" s="283" t="n">
        <v>0.0047</v>
      </c>
    </row>
    <row r="9">
      <c r="A9" s="78" t="inlineStr">
        <is>
          <t>WACC (Discount Rate)</t>
        </is>
      </c>
      <c r="B9" s="284" t="n">
        <v>0.082</v>
      </c>
    </row>
    <row r="10">
      <c r="A10" s="78" t="inlineStr">
        <is>
          <t>Terminal Growth Rate</t>
        </is>
      </c>
      <c r="B10" s="284" t="n">
        <v>0.03</v>
      </c>
    </row>
    <row r="11">
      <c r="A11" s="78" t="inlineStr">
        <is>
          <t>High-Growth Rate (Stage 1)</t>
        </is>
      </c>
      <c r="B11" s="284" t="n">
        <v>0.03</v>
      </c>
    </row>
    <row r="12"/>
    <row r="13">
      <c r="A13" s="63" t="inlineStr">
        <is>
          <t>DDM VALUATIONS</t>
        </is>
      </c>
    </row>
    <row r="14">
      <c r="A14" s="78" t="inlineStr">
        <is>
          <t>Gordon Growth Value (1-stage)</t>
        </is>
      </c>
      <c r="B14" s="285" t="n">
        <v>19.61</v>
      </c>
    </row>
    <row r="15">
      <c r="A15" s="78" t="inlineStr">
        <is>
          <t>2-Stage DDM Value</t>
        </is>
      </c>
      <c r="B15" s="285" t="n">
        <v>19.61</v>
      </c>
    </row>
    <row r="16">
      <c r="A16" s="260" t="inlineStr">
        <is>
          <t>Model Applicability</t>
        </is>
      </c>
      <c r="B16" s="286" t="inlineStr">
        <is>
          <t>DDM model</t>
        </is>
      </c>
    </row>
    <row r="17"/>
    <row r="18">
      <c r="A18" s="76" t="inlineStr">
        <is>
          <t>MARKET PRICE vs DDM</t>
        </is>
      </c>
    </row>
    <row r="19">
      <c r="A19" s="78" t="inlineStr">
        <is>
          <t>Current Market Price</t>
        </is>
      </c>
      <c r="B19" s="287" t="n">
        <v>213</v>
      </c>
    </row>
    <row r="20">
      <c r="A20" s="78" t="inlineStr">
        <is>
          <t>Gordon Growth Value</t>
        </is>
      </c>
      <c r="B20" s="285" t="n">
        <v>19.61</v>
      </c>
    </row>
    <row r="21">
      <c r="A21" s="78" t="inlineStr">
        <is>
          <t>2-Stage DDM Value</t>
        </is>
      </c>
      <c r="B21" s="285" t="n">
        <v>19.61</v>
      </c>
    </row>
    <row r="22">
      <c r="A22" s="78" t="inlineStr">
        <is>
          <t>Premium / (Discount) — Gordon</t>
        </is>
      </c>
      <c r="B22" s="288" t="n">
        <v>-0.9079342723004694</v>
      </c>
    </row>
    <row r="23">
      <c r="A23" s="78" t="inlineStr">
        <is>
          <t>Premium / (Discount) — 2-Stage</t>
        </is>
      </c>
      <c r="B23" s="288" t="n">
        <v>-0.9079342723004694</v>
      </c>
    </row>
    <row r="24"/>
    <row r="25"/>
    <row r="26"/>
    <row r="27"/>
    <row r="28"/>
    <row r="29"/>
    <row r="30"/>
    <row r="31"/>
    <row r="32"/>
    <row r="33"/>
    <row r="34"/>
    <row r="35"/>
    <row r="36"/>
    <row r="37"/>
    <row r="38"/>
    <row r="39"/>
    <row r="40"/>
    <row r="41"/>
    <row r="42"/>
    <row r="43"/>
    <row r="44"/>
    <row r="45"/>
    <row r="46"/>
    <row r="47"/>
    <row r="48"/>
    <row r="49"/>
    <row r="50"/>
  </sheetData>
  <mergeCells count="4">
    <mergeCell ref="A3:D3"/>
    <mergeCell ref="A13:D13"/>
    <mergeCell ref="A18:D18"/>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36.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2"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32" customHeight="1">
      <c r="A1" s="21" t="inlineStr">
        <is>
          <t xml:space="preserve">  Working Capital Schedule    |    AR / AP / Inventory Days · NWC Roll-Forward (5-Year)</t>
        </is>
      </c>
    </row>
    <row r="2"/>
    <row r="3">
      <c r="A3" s="76" t="inlineStr">
        <is>
          <t>WORKING CAPITAL DAYS</t>
        </is>
      </c>
    </row>
    <row r="4">
      <c r="A4" s="260" t="inlineStr">
        <is>
          <t>Days Sales Outstanding (AR)</t>
        </is>
      </c>
      <c r="B4" s="261" t="inlineStr">
        <is>
          <t>35 days</t>
        </is>
      </c>
    </row>
    <row r="5">
      <c r="A5" s="262" t="inlineStr">
        <is>
          <t>Days Inventory Outstanding</t>
        </is>
      </c>
      <c r="B5" s="263" t="inlineStr">
        <is>
          <t>0 days</t>
        </is>
      </c>
    </row>
    <row r="6">
      <c r="A6" s="260" t="inlineStr">
        <is>
          <t>Days Payable Outstanding</t>
        </is>
      </c>
      <c r="B6" s="261" t="inlineStr">
        <is>
          <t>30 days</t>
        </is>
      </c>
    </row>
    <row r="7">
      <c r="A7" s="262" t="inlineStr">
        <is>
          <t>Cash Conversion Cycle</t>
        </is>
      </c>
      <c r="B7" s="263" t="inlineStr">
        <is>
          <t>5 days</t>
        </is>
      </c>
    </row>
    <row r="8">
      <c r="A8" s="260" t="inlineStr">
        <is>
          <t>Current NWC</t>
        </is>
      </c>
      <c r="B8" s="261" t="inlineStr">
        <is>
          <t>$5,356.6M</t>
        </is>
      </c>
    </row>
    <row r="9">
      <c r="A9" s="262" t="inlineStr">
        <is>
          <t>Sector Note</t>
        </is>
      </c>
      <c r="B9" s="263" t="inlineStr">
        <is>
          <t>SaaS: low AR days, no inventory, deferred revenue improves NWC</t>
        </is>
      </c>
    </row>
    <row r="10"/>
    <row r="11">
      <c r="A11" s="63" t="inlineStr">
        <is>
          <t>5-YEAR WORKING CAPITAL SCHEDULE  ($M)</t>
        </is>
      </c>
    </row>
    <row r="12">
      <c r="A12" s="23" t="inlineStr">
        <is>
          <t>Line Item</t>
        </is>
      </c>
      <c r="B12" s="23" t="inlineStr">
        <is>
          <t>Y1</t>
        </is>
      </c>
      <c r="C12" s="23" t="inlineStr">
        <is>
          <t>Y2</t>
        </is>
      </c>
      <c r="D12" s="23" t="inlineStr">
        <is>
          <t>Y3</t>
        </is>
      </c>
      <c r="E12" s="23" t="inlineStr">
        <is>
          <t>Y4</t>
        </is>
      </c>
      <c r="F12" s="23" t="inlineStr">
        <is>
          <t>Y5</t>
        </is>
      </c>
    </row>
    <row r="13">
      <c r="A13" s="77" t="inlineStr">
        <is>
          <t>Revenue</t>
        </is>
      </c>
      <c r="B13" s="269" t="n">
        <v>420362.6</v>
      </c>
      <c r="C13" s="269" t="n">
        <v>451889.8</v>
      </c>
      <c r="D13" s="269" t="n">
        <v>485781.6</v>
      </c>
      <c r="E13" s="269" t="n">
        <v>493672.7</v>
      </c>
      <c r="F13" s="269" t="n">
        <v>523293</v>
      </c>
    </row>
    <row r="14">
      <c r="A14" s="80" t="inlineStr">
        <is>
          <t>Accounts Receivable</t>
        </is>
      </c>
      <c r="B14" s="271" t="n">
        <v>40308.7</v>
      </c>
      <c r="C14" s="271" t="n">
        <v>43331.9</v>
      </c>
      <c r="D14" s="271" t="n">
        <v>46581.8</v>
      </c>
      <c r="E14" s="271" t="n">
        <v>47338.5</v>
      </c>
      <c r="F14" s="271" t="n">
        <v>50178.8</v>
      </c>
    </row>
    <row r="15">
      <c r="A15" s="78" t="inlineStr">
        <is>
          <t>Inventory</t>
        </is>
      </c>
      <c r="B15" s="269" t="n">
        <v>0</v>
      </c>
      <c r="C15" s="269" t="n">
        <v>0</v>
      </c>
      <c r="D15" s="269" t="n">
        <v>0</v>
      </c>
      <c r="E15" s="269" t="n">
        <v>0</v>
      </c>
      <c r="F15" s="269" t="n">
        <v>0</v>
      </c>
    </row>
    <row r="16">
      <c r="A16" s="80" t="inlineStr">
        <is>
          <t>Accounts Payable</t>
        </is>
      </c>
      <c r="B16" s="271" t="n">
        <v>34550.4</v>
      </c>
      <c r="C16" s="271" t="n">
        <v>37141.6</v>
      </c>
      <c r="D16" s="271" t="n">
        <v>39927.3</v>
      </c>
      <c r="E16" s="271" t="n">
        <v>40575.8</v>
      </c>
      <c r="F16" s="271" t="n">
        <v>43010.4</v>
      </c>
    </row>
    <row r="17">
      <c r="A17" s="77" t="inlineStr">
        <is>
          <t>Net Working Capital</t>
        </is>
      </c>
      <c r="B17" s="269" t="n">
        <v>5758.4</v>
      </c>
      <c r="C17" s="269" t="n">
        <v>6190.3</v>
      </c>
      <c r="D17" s="269" t="n">
        <v>6654.5</v>
      </c>
      <c r="E17" s="269" t="n">
        <v>6762.6</v>
      </c>
      <c r="F17" s="269" t="n">
        <v>7168.4</v>
      </c>
    </row>
    <row r="18">
      <c r="A18" s="80" t="inlineStr">
        <is>
          <t>NWC Change (cash use)</t>
        </is>
      </c>
      <c r="B18" s="271" t="n">
        <v>401.7</v>
      </c>
      <c r="C18" s="271" t="n">
        <v>431.9</v>
      </c>
      <c r="D18" s="271" t="n">
        <v>464.3</v>
      </c>
      <c r="E18" s="271" t="n">
        <v>108.1</v>
      </c>
      <c r="F18" s="271" t="n">
        <v>405.8</v>
      </c>
    </row>
    <row r="19">
      <c r="A19" s="78" t="inlineStr">
        <is>
          <t>NWC % Revenue</t>
        </is>
      </c>
      <c r="B19" s="269" t="inlineStr">
        <is>
          <t>1.4%</t>
        </is>
      </c>
      <c r="C19" s="269" t="inlineStr">
        <is>
          <t>1.4%</t>
        </is>
      </c>
      <c r="D19" s="269" t="inlineStr">
        <is>
          <t>1.4%</t>
        </is>
      </c>
      <c r="E19" s="269" t="inlineStr">
        <is>
          <t>1.4%</t>
        </is>
      </c>
      <c r="F19" s="269" t="inlineStr">
        <is>
          <t>1.4%</t>
        </is>
      </c>
    </row>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D3"/>
    <mergeCell ref="A11:H11"/>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37.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16" customWidth="1" min="3" max="3"/>
    <col width="16" customWidth="1" min="4" max="4"/>
    <col width="18" customWidth="1" min="5" max="5"/>
    <col width="20" customWidth="1" min="6" max="6"/>
    <col width="16" customWidth="1" min="7" max="7"/>
    <col width="16" customWidth="1" min="8" max="8"/>
  </cols>
  <sheetData>
    <row r="1" ht="32" customHeight="1">
      <c r="A1" s="21" t="inlineStr">
        <is>
          <t xml:space="preserve">  Historical Trading Multiples    |    EV/EBITDA · P/E · EV/Revenue vs Peer Median (6-Year)</t>
        </is>
      </c>
    </row>
    <row r="2"/>
    <row r="3">
      <c r="A3" s="23" t="inlineStr">
        <is>
          <t>Year</t>
        </is>
      </c>
      <c r="B3" s="23" t="inlineStr">
        <is>
          <t>EV/EBITDA</t>
        </is>
      </c>
      <c r="C3" s="23" t="inlineStr">
        <is>
          <t>P/E</t>
        </is>
      </c>
      <c r="D3" s="23" t="inlineStr">
        <is>
          <t>EV/Revenue</t>
        </is>
      </c>
      <c r="E3" s="23" t="inlineStr">
        <is>
          <t>Peer EV/EBITDA</t>
        </is>
      </c>
      <c r="F3" s="23" t="inlineStr">
        <is>
          <t>vs Peer EV/EBITDA</t>
        </is>
      </c>
    </row>
    <row r="4">
      <c r="A4" s="55" t="inlineStr">
        <is>
          <t>2020</t>
        </is>
      </c>
      <c r="B4" s="269" t="n">
        <v>34.4</v>
      </c>
      <c r="C4" s="269" t="n">
        <v>48.4</v>
      </c>
      <c r="D4" s="269" t="n">
        <v>11.8</v>
      </c>
      <c r="E4" s="269" t="n">
        <v>19.8</v>
      </c>
      <c r="F4" s="264" t="inlineStr">
        <is>
          <t>+14.6x</t>
        </is>
      </c>
    </row>
    <row r="5">
      <c r="A5" s="58" t="inlineStr">
        <is>
          <t>2021</t>
        </is>
      </c>
      <c r="B5" s="271" t="n">
        <v>29.5</v>
      </c>
      <c r="C5" s="271" t="n">
        <v>41.5</v>
      </c>
      <c r="D5" s="271" t="n">
        <v>10.1</v>
      </c>
      <c r="E5" s="271" t="n">
        <v>19.8</v>
      </c>
      <c r="F5" s="265" t="inlineStr">
        <is>
          <t>+9.7x</t>
        </is>
      </c>
    </row>
    <row r="6">
      <c r="A6" s="55" t="inlineStr">
        <is>
          <t>2022</t>
        </is>
      </c>
      <c r="B6" s="269" t="n">
        <v>22.1</v>
      </c>
      <c r="C6" s="269" t="n">
        <v>31.1</v>
      </c>
      <c r="D6" s="269" t="n">
        <v>7.6</v>
      </c>
      <c r="E6" s="269" t="n">
        <v>19.8</v>
      </c>
      <c r="F6" s="264" t="inlineStr">
        <is>
          <t>+2.3x</t>
        </is>
      </c>
    </row>
    <row r="7">
      <c r="A7" s="58" t="inlineStr">
        <is>
          <t>2023</t>
        </is>
      </c>
      <c r="B7" s="271" t="n">
        <v>20.9</v>
      </c>
      <c r="C7" s="271" t="n">
        <v>29.4</v>
      </c>
      <c r="D7" s="271" t="n">
        <v>7.2</v>
      </c>
      <c r="E7" s="271" t="n">
        <v>19.8</v>
      </c>
      <c r="F7" s="271" t="inlineStr">
        <is>
          <t>+1.1x</t>
        </is>
      </c>
    </row>
    <row r="8">
      <c r="A8" s="55" t="inlineStr">
        <is>
          <t>2024</t>
        </is>
      </c>
      <c r="B8" s="269" t="n">
        <v>23.3</v>
      </c>
      <c r="C8" s="269" t="n">
        <v>32.8</v>
      </c>
      <c r="D8" s="269" t="n">
        <v>8</v>
      </c>
      <c r="E8" s="269" t="n">
        <v>19.8</v>
      </c>
      <c r="F8" s="264" t="inlineStr">
        <is>
          <t>+3.5x</t>
        </is>
      </c>
    </row>
    <row r="9">
      <c r="A9" s="58" t="inlineStr">
        <is>
          <t>2025</t>
        </is>
      </c>
      <c r="B9" s="271" t="n">
        <v>24.5</v>
      </c>
      <c r="C9" s="271" t="n">
        <v>34.6</v>
      </c>
      <c r="D9" s="271" t="n">
        <v>8.5</v>
      </c>
      <c r="E9" s="271" t="n">
        <v>19.8</v>
      </c>
      <c r="F9" s="265" t="inlineStr">
        <is>
          <t>+4.7x</t>
        </is>
      </c>
    </row>
    <row r="10"/>
    <row r="11">
      <c r="A11" s="76" t="inlineStr">
        <is>
          <t>SUMMARY STATISTICS</t>
        </is>
      </c>
    </row>
    <row r="12">
      <c r="A12" s="260" t="inlineStr">
        <is>
          <t>Current EV/EBITDA</t>
        </is>
      </c>
      <c r="B12" s="261" t="inlineStr">
        <is>
          <t>24.5x</t>
        </is>
      </c>
    </row>
    <row r="13">
      <c r="A13" s="262" t="inlineStr">
        <is>
          <t>5-Year Avg EV/EBITDA</t>
        </is>
      </c>
      <c r="B13" s="263" t="inlineStr">
        <is>
          <t>25.8x</t>
        </is>
      </c>
    </row>
    <row r="14">
      <c r="A14" s="260" t="inlineStr">
        <is>
          <t>Current P/E</t>
        </is>
      </c>
      <c r="B14" s="261" t="inlineStr">
        <is>
          <t>34.6x</t>
        </is>
      </c>
    </row>
    <row r="15">
      <c r="A15" s="262" t="inlineStr">
        <is>
          <t>5-Year Avg P/E</t>
        </is>
      </c>
      <c r="B15" s="263" t="inlineStr">
        <is>
          <t>36.3x</t>
        </is>
      </c>
    </row>
    <row r="16">
      <c r="A16" s="260" t="inlineStr">
        <is>
          <t>Peer Median EV/EBITDA</t>
        </is>
      </c>
      <c r="B16" s="261" t="inlineStr">
        <is>
          <t>19.8x</t>
        </is>
      </c>
    </row>
    <row r="17">
      <c r="A17" s="262" t="inlineStr">
        <is>
          <t>Data Note</t>
        </is>
      </c>
      <c r="B17" s="263" t="inlineStr">
        <is>
          <t>Historical multiples estimated from current + trend model — replace with Bloomberg/FactSet data</t>
        </is>
      </c>
    </row>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2">
    <mergeCell ref="A1:L1"/>
    <mergeCell ref="A11:D1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
</worksheet>
</file>

<file path=xl/worksheets/sheet38.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16" customWidth="1" min="3" max="3"/>
    <col width="16" customWidth="1" min="4" max="4"/>
    <col width="14" customWidth="1" min="5" max="5"/>
    <col width="16" customWidth="1" min="6" max="6"/>
    <col width="16" customWidth="1" min="7" max="7"/>
    <col width="16" customWidth="1" min="8" max="8"/>
  </cols>
  <sheetData>
    <row r="1" ht="32" customHeight="1">
      <c r="A1" s="21" t="inlineStr">
        <is>
          <t xml:space="preserve">  SaaS Metrics Dashboard    |    ARR Build · NRR Waterfall · Cohort Analysis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ARR WATERFALL ($M)</t>
        </is>
      </c>
    </row>
    <row r="4">
      <c r="A4" s="260" t="inlineStr">
        <is>
          <t>Beginning ARR</t>
        </is>
      </c>
      <c r="B4" s="261" t="inlineStr">
        <is>
          <t>$307,940.1M</t>
        </is>
      </c>
    </row>
    <row r="5">
      <c r="A5" s="262" t="inlineStr">
        <is>
          <t>+ New ARR</t>
        </is>
      </c>
      <c r="B5" s="275" t="inlineStr">
        <is>
          <t>$90,329.1M</t>
        </is>
      </c>
    </row>
    <row r="6">
      <c r="A6" s="260" t="inlineStr">
        <is>
          <t>+ Expansion ARR</t>
        </is>
      </c>
      <c r="B6" s="280" t="inlineStr">
        <is>
          <t>$55,429.2M</t>
        </is>
      </c>
    </row>
    <row r="7">
      <c r="A7" s="262" t="inlineStr">
        <is>
          <t>- Churned ARR</t>
        </is>
      </c>
      <c r="B7" s="289" t="inlineStr">
        <is>
          <t>$-24,635.2M</t>
        </is>
      </c>
    </row>
    <row r="8">
      <c r="A8" s="260" t="inlineStr">
        <is>
          <t>Ending ARR</t>
        </is>
      </c>
      <c r="B8" s="290" t="inlineStr">
        <is>
          <t>$422,904.4M</t>
        </is>
      </c>
    </row>
    <row r="9"/>
    <row r="10">
      <c r="A10" s="63" t="inlineStr">
        <is>
          <t>KEY SAAS METRICS</t>
        </is>
      </c>
    </row>
    <row r="11">
      <c r="A11" s="262" t="inlineStr">
        <is>
          <t>Net Revenue Retention (NRR)</t>
        </is>
      </c>
      <c r="B11" s="275" t="inlineStr">
        <is>
          <t>110.0%</t>
        </is>
      </c>
    </row>
    <row r="12">
      <c r="A12" s="260" t="inlineStr">
        <is>
          <t>Gross Revenue Churn</t>
        </is>
      </c>
      <c r="B12" s="261" t="inlineStr">
        <is>
          <t>8.0%</t>
        </is>
      </c>
    </row>
    <row r="13">
      <c r="A13" s="262" t="inlineStr">
        <is>
          <t>Net Expansion Rate</t>
        </is>
      </c>
      <c r="B13" s="263" t="inlineStr">
        <is>
          <t>18.0%</t>
        </is>
      </c>
    </row>
    <row r="14">
      <c r="A14" s="260" t="inlineStr">
        <is>
          <t>Customers (total)</t>
        </is>
      </c>
      <c r="B14" s="261" t="inlineStr">
        <is>
          <t>8,211,735</t>
        </is>
      </c>
    </row>
    <row r="15">
      <c r="A15" s="262" t="inlineStr">
        <is>
          <t>New Customers (period)</t>
        </is>
      </c>
      <c r="B15" s="263" t="inlineStr">
        <is>
          <t>1,806,581</t>
        </is>
      </c>
    </row>
    <row r="16">
      <c r="A16" s="260" t="inlineStr">
        <is>
          <t>Churned Customers</t>
        </is>
      </c>
      <c r="B16" s="261" t="inlineStr">
        <is>
          <t>492,704</t>
        </is>
      </c>
    </row>
    <row r="17">
      <c r="A17" s="262" t="inlineStr">
        <is>
          <t>ARPU (avg rev/customer)</t>
        </is>
      </c>
      <c r="B17" s="275" t="inlineStr">
        <is>
          <t>$50,000</t>
        </is>
      </c>
    </row>
    <row r="18"/>
    <row r="19">
      <c r="A19" s="63" t="inlineStr">
        <is>
          <t>COHORT RETENTION (%)</t>
        </is>
      </c>
    </row>
    <row r="20">
      <c r="A20" s="23" t="inlineStr">
        <is>
          <t>Cohort</t>
        </is>
      </c>
      <c r="B20" s="23" t="inlineStr">
        <is>
          <t>Y0 (100%)</t>
        </is>
      </c>
      <c r="C20" s="23" t="inlineStr">
        <is>
          <t>Y1</t>
        </is>
      </c>
      <c r="D20" s="23" t="inlineStr">
        <is>
          <t>Y2</t>
        </is>
      </c>
      <c r="E20" s="23" t="inlineStr">
        <is>
          <t>Y3</t>
        </is>
      </c>
    </row>
    <row r="21">
      <c r="A21" s="55" t="inlineStr">
        <is>
          <t>2021</t>
        </is>
      </c>
      <c r="B21" s="269" t="inlineStr">
        <is>
          <t>100%</t>
        </is>
      </c>
      <c r="C21" s="269" t="inlineStr">
        <is>
          <t>101%</t>
        </is>
      </c>
      <c r="D21" s="269" t="inlineStr">
        <is>
          <t>102%</t>
        </is>
      </c>
      <c r="E21" s="269" t="inlineStr">
        <is>
          <t>103%</t>
        </is>
      </c>
    </row>
    <row r="22">
      <c r="A22" s="58" t="inlineStr">
        <is>
          <t>2022</t>
        </is>
      </c>
      <c r="B22" s="271" t="inlineStr">
        <is>
          <t>100%</t>
        </is>
      </c>
      <c r="C22" s="271" t="inlineStr">
        <is>
          <t>101%</t>
        </is>
      </c>
      <c r="D22" s="271" t="inlineStr">
        <is>
          <t>102%</t>
        </is>
      </c>
      <c r="E22" s="271" t="inlineStr">
        <is>
          <t>103%</t>
        </is>
      </c>
    </row>
    <row r="23">
      <c r="A23" s="55" t="inlineStr">
        <is>
          <t>2023</t>
        </is>
      </c>
      <c r="B23" s="269" t="inlineStr">
        <is>
          <t>100%</t>
        </is>
      </c>
      <c r="C23" s="269" t="inlineStr">
        <is>
          <t>101%</t>
        </is>
      </c>
      <c r="D23" s="269" t="inlineStr">
        <is>
          <t>102%</t>
        </is>
      </c>
      <c r="E23" s="269" t="inlineStr">
        <is>
          <t>103%</t>
        </is>
      </c>
    </row>
    <row r="24">
      <c r="A24" s="58" t="inlineStr">
        <is>
          <t>2024</t>
        </is>
      </c>
      <c r="B24" s="271" t="inlineStr">
        <is>
          <t>100%</t>
        </is>
      </c>
      <c r="C24" s="271" t="inlineStr">
        <is>
          <t>101%</t>
        </is>
      </c>
      <c r="D24" s="271" t="inlineStr">
        <is>
          <t>102%</t>
        </is>
      </c>
      <c r="E24" s="271" t="inlineStr">
        <is>
          <t>103%</t>
        </is>
      </c>
    </row>
    <row r="25"/>
    <row r="26">
      <c r="A26" s="76" t="inlineStr">
        <is>
          <t>ARR PROJECTIONS ($M)</t>
        </is>
      </c>
    </row>
    <row r="27">
      <c r="A27" s="23" t="inlineStr">
        <is>
          <t>Metric</t>
        </is>
      </c>
      <c r="B27" s="23" t="inlineStr">
        <is>
          <t>Y1</t>
        </is>
      </c>
      <c r="C27" s="23" t="inlineStr">
        <is>
          <t>Y2</t>
        </is>
      </c>
      <c r="D27" s="23" t="inlineStr">
        <is>
          <t>Y3</t>
        </is>
      </c>
    </row>
    <row r="28">
      <c r="A28" s="78" t="inlineStr">
        <is>
          <t>ARR Beginning</t>
        </is>
      </c>
      <c r="B28" s="269" t="inlineStr">
        <is>
          <t>$422,904M</t>
        </is>
      </c>
      <c r="C28" s="269" t="inlineStr">
        <is>
          <t>$481,054M</t>
        </is>
      </c>
      <c r="D28" s="269" t="inlineStr">
        <is>
          <t>$547,199M</t>
        </is>
      </c>
    </row>
    <row r="29">
      <c r="A29" s="80" t="inlineStr">
        <is>
          <t>New ARR</t>
        </is>
      </c>
      <c r="B29" s="271" t="inlineStr">
        <is>
          <t>$15,859M</t>
        </is>
      </c>
      <c r="C29" s="271" t="inlineStr">
        <is>
          <t>$18,040M</t>
        </is>
      </c>
      <c r="D29" s="271" t="inlineStr">
        <is>
          <t>$20,520M</t>
        </is>
      </c>
    </row>
    <row r="30">
      <c r="A30" s="78" t="inlineStr">
        <is>
          <t>Expansion</t>
        </is>
      </c>
      <c r="B30" s="269" t="inlineStr">
        <is>
          <t>$76,123M</t>
        </is>
      </c>
      <c r="C30" s="269" t="inlineStr">
        <is>
          <t>$86,590M</t>
        </is>
      </c>
      <c r="D30" s="269" t="inlineStr">
        <is>
          <t>$98,496M</t>
        </is>
      </c>
    </row>
    <row r="31">
      <c r="A31" s="80" t="inlineStr">
        <is>
          <t>Churn</t>
        </is>
      </c>
      <c r="B31" s="271" t="inlineStr">
        <is>
          <t>$-33,832M</t>
        </is>
      </c>
      <c r="C31" s="271" t="inlineStr">
        <is>
          <t>$-38,484M</t>
        </is>
      </c>
      <c r="D31" s="271" t="inlineStr">
        <is>
          <t>$-43,776M</t>
        </is>
      </c>
    </row>
    <row r="32">
      <c r="A32" s="77" t="inlineStr">
        <is>
          <t>ARR Ending</t>
        </is>
      </c>
      <c r="B32" s="269" t="inlineStr">
        <is>
          <t>$481,054M</t>
        </is>
      </c>
      <c r="C32" s="269" t="inlineStr">
        <is>
          <t>$547,199M</t>
        </is>
      </c>
      <c r="D32" s="269" t="inlineStr">
        <is>
          <t>$622,438M</t>
        </is>
      </c>
    </row>
    <row r="33">
      <c r="A33" s="80" t="inlineStr">
        <is>
          <t>NRR</t>
        </is>
      </c>
      <c r="B33" s="271" t="inlineStr">
        <is>
          <t>110.0%</t>
        </is>
      </c>
      <c r="C33" s="271" t="inlineStr">
        <is>
          <t>110.0%</t>
        </is>
      </c>
      <c r="D33" s="271" t="inlineStr">
        <is>
          <t>110.0%</t>
        </is>
      </c>
    </row>
    <row r="34"/>
    <row r="35"/>
    <row r="36"/>
    <row r="37"/>
    <row r="38"/>
    <row r="39"/>
    <row r="40"/>
    <row r="41"/>
    <row r="42"/>
    <row r="43"/>
    <row r="44"/>
    <row r="45"/>
    <row r="46"/>
    <row r="47"/>
    <row r="48"/>
    <row r="49"/>
    <row r="50"/>
  </sheetData>
  <mergeCells count="5">
    <mergeCell ref="A26:H26"/>
    <mergeCell ref="A19:F19"/>
    <mergeCell ref="A1:L1"/>
    <mergeCell ref="A3:F3"/>
    <mergeCell ref="A10:D10"/>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39.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16" customWidth="1" min="3" max="3"/>
    <col width="16" customWidth="1" min="4" max="4"/>
    <col width="16" customWidth="1" min="5" max="5"/>
    <col width="16" customWidth="1" min="6" max="6"/>
  </cols>
  <sheetData>
    <row r="1" ht="32" customHeight="1">
      <c r="A1" s="21" t="inlineStr">
        <is>
          <t xml:space="preserve">  Macro Sensitivity Analysis    |    Interest Rates · GDP Growth · FX Scenarios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INTEREST RATE SCENARIOS</t>
        </is>
      </c>
    </row>
    <row r="4">
      <c r="A4" s="23" t="inlineStr">
        <is>
          <t>Scenario</t>
        </is>
      </c>
      <c r="B4" s="23" t="inlineStr">
        <is>
          <t>Price / Share</t>
        </is>
      </c>
      <c r="C4" s="23" t="inlineStr">
        <is>
          <t>Change %</t>
        </is>
      </c>
    </row>
    <row r="5">
      <c r="A5" s="55" t="inlineStr">
        <is>
          <t>Rate cut 200bps</t>
        </is>
      </c>
      <c r="B5" s="269" t="inlineStr">
        <is>
          <t>$253.64</t>
        </is>
      </c>
      <c r="C5" s="268" t="inlineStr">
        <is>
          <t>+21.0%</t>
        </is>
      </c>
    </row>
    <row r="6">
      <c r="A6" s="58" t="inlineStr">
        <is>
          <t>Rate cut 100bps</t>
        </is>
      </c>
      <c r="B6" s="271" t="inlineStr">
        <is>
          <t>$228.76</t>
        </is>
      </c>
      <c r="C6" s="267" t="inlineStr">
        <is>
          <t>+9.1%</t>
        </is>
      </c>
    </row>
    <row r="7">
      <c r="A7" s="152" t="inlineStr">
        <is>
          <t>Base (current)</t>
        </is>
      </c>
      <c r="B7" s="209" t="inlineStr">
        <is>
          <t>$209.62</t>
        </is>
      </c>
      <c r="C7" s="209" t="inlineStr">
        <is>
          <t>-0.0%</t>
        </is>
      </c>
    </row>
    <row r="8">
      <c r="A8" s="58" t="inlineStr">
        <is>
          <t>Rate hike 100bps</t>
        </is>
      </c>
      <c r="B8" s="271" t="inlineStr">
        <is>
          <t>$194.44</t>
        </is>
      </c>
      <c r="C8" s="265" t="inlineStr">
        <is>
          <t>-7.2%</t>
        </is>
      </c>
    </row>
    <row r="9">
      <c r="A9" s="55" t="inlineStr">
        <is>
          <t>Rate hike 200bps</t>
        </is>
      </c>
      <c r="B9" s="269" t="inlineStr">
        <is>
          <t>$182.11</t>
        </is>
      </c>
      <c r="C9" s="264" t="inlineStr">
        <is>
          <t>-13.1%</t>
        </is>
      </c>
    </row>
    <row r="10"/>
    <row r="11">
      <c r="A11" s="63" t="inlineStr">
        <is>
          <t>GDP GROWTH SCENARIOS</t>
        </is>
      </c>
    </row>
    <row r="12">
      <c r="A12" s="23" t="inlineStr">
        <is>
          <t>Scenario</t>
        </is>
      </c>
      <c r="B12" s="23" t="inlineStr">
        <is>
          <t>Price / Share</t>
        </is>
      </c>
      <c r="C12" s="23" t="inlineStr">
        <is>
          <t>Change %</t>
        </is>
      </c>
    </row>
    <row r="13">
      <c r="A13" s="55" t="inlineStr">
        <is>
          <t>Recession (-3% GDP)</t>
        </is>
      </c>
      <c r="B13" s="269" t="inlineStr">
        <is>
          <t>$208.33</t>
        </is>
      </c>
      <c r="C13" s="264" t="inlineStr">
        <is>
          <t>-0.6%</t>
        </is>
      </c>
    </row>
    <row r="14">
      <c r="A14" s="58" t="inlineStr">
        <is>
          <t>Slowdown (-1% GDP)</t>
        </is>
      </c>
      <c r="B14" s="271" t="inlineStr">
        <is>
          <t>$212.30</t>
        </is>
      </c>
      <c r="C14" s="267" t="inlineStr">
        <is>
          <t>+1.3%</t>
        </is>
      </c>
    </row>
    <row r="15">
      <c r="A15" s="152" t="inlineStr">
        <is>
          <t>Base case</t>
        </is>
      </c>
      <c r="B15" s="209" t="inlineStr">
        <is>
          <t>$214.28</t>
        </is>
      </c>
      <c r="C15" s="291" t="inlineStr">
        <is>
          <t>+2.2%</t>
        </is>
      </c>
    </row>
    <row r="16">
      <c r="A16" s="58" t="inlineStr">
        <is>
          <t>Acceleration (+1% GDP)</t>
        </is>
      </c>
      <c r="B16" s="271" t="inlineStr">
        <is>
          <t>$216.27</t>
        </is>
      </c>
      <c r="C16" s="267" t="inlineStr">
        <is>
          <t>+3.2%</t>
        </is>
      </c>
    </row>
    <row r="17">
      <c r="A17" s="55" t="inlineStr">
        <is>
          <t>Boom (+3% GDP)</t>
        </is>
      </c>
      <c r="B17" s="269" t="inlineStr">
        <is>
          <t>$220.24</t>
        </is>
      </c>
      <c r="C17" s="268" t="inlineStr">
        <is>
          <t>+5.1%</t>
        </is>
      </c>
    </row>
    <row r="18"/>
    <row r="19">
      <c r="A19" s="63" t="inlineStr">
        <is>
          <t>FX / CURRENCY SCENARIOS</t>
        </is>
      </c>
    </row>
    <row r="20">
      <c r="A20" s="23" t="inlineStr">
        <is>
          <t>Scenario</t>
        </is>
      </c>
      <c r="B20" s="23" t="inlineStr">
        <is>
          <t>Price / Share</t>
        </is>
      </c>
      <c r="C20" s="23" t="inlineStr">
        <is>
          <t>Change %</t>
        </is>
      </c>
    </row>
    <row r="21">
      <c r="A21" s="55" t="inlineStr">
        <is>
          <t>USD +15% (strong dollar)</t>
        </is>
      </c>
      <c r="B21" s="269" t="inlineStr">
        <is>
          <t>$208.10</t>
        </is>
      </c>
      <c r="C21" s="264" t="inlineStr">
        <is>
          <t>-0.7%</t>
        </is>
      </c>
    </row>
    <row r="22">
      <c r="A22" s="58" t="inlineStr">
        <is>
          <t>USD +5%</t>
        </is>
      </c>
      <c r="B22" s="271" t="inlineStr">
        <is>
          <t>$209.12</t>
        </is>
      </c>
      <c r="C22" s="265" t="inlineStr">
        <is>
          <t>-0.2%</t>
        </is>
      </c>
    </row>
    <row r="23">
      <c r="A23" s="152" t="inlineStr">
        <is>
          <t>Base (unchanged)</t>
        </is>
      </c>
      <c r="B23" s="209" t="inlineStr">
        <is>
          <t>$209.62</t>
        </is>
      </c>
      <c r="C23" s="209" t="inlineStr">
        <is>
          <t>+0.0%</t>
        </is>
      </c>
    </row>
    <row r="24">
      <c r="A24" s="58" t="inlineStr">
        <is>
          <t>USD -5%</t>
        </is>
      </c>
      <c r="B24" s="271" t="inlineStr">
        <is>
          <t>$210.13</t>
        </is>
      </c>
      <c r="C24" s="267" t="inlineStr">
        <is>
          <t>+0.2%</t>
        </is>
      </c>
    </row>
    <row r="25">
      <c r="A25" s="55" t="inlineStr">
        <is>
          <t>USD -15% (weak dollar)</t>
        </is>
      </c>
      <c r="B25" s="269" t="inlineStr">
        <is>
          <t>$211.14</t>
        </is>
      </c>
      <c r="C25" s="268" t="inlineStr">
        <is>
          <t>+0.7%</t>
        </is>
      </c>
    </row>
    <row r="26"/>
    <row r="27">
      <c r="A27" s="262" t="inlineStr">
        <is>
          <t>Note</t>
        </is>
      </c>
      <c r="B27" s="292" t="inlineStr">
        <is>
          <t>Macro scenarios model second-order effects on DCF terminal value and revenue growth</t>
        </is>
      </c>
    </row>
    <row r="28"/>
    <row r="29"/>
    <row r="30"/>
    <row r="31"/>
    <row r="32"/>
    <row r="33"/>
    <row r="34"/>
    <row r="35"/>
    <row r="36"/>
    <row r="37"/>
    <row r="38"/>
    <row r="39"/>
    <row r="40"/>
    <row r="41"/>
    <row r="42"/>
    <row r="43"/>
    <row r="44"/>
    <row r="45"/>
    <row r="46"/>
    <row r="47"/>
    <row r="48"/>
    <row r="49"/>
    <row r="50"/>
  </sheetData>
  <mergeCells count="4">
    <mergeCell ref="A3:F3"/>
    <mergeCell ref="A11:F11"/>
    <mergeCell ref="A19:F19"/>
    <mergeCell ref="A1:L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0.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4" customWidth="1" min="3" max="3"/>
    <col width="12" customWidth="1" min="4" max="4"/>
    <col width="14" customWidth="1" min="5" max="5"/>
    <col width="14" customWidth="1" min="6" max="6"/>
    <col width="14" customWidth="1" min="7" max="7"/>
    <col width="14" customWidth="1" min="8" max="8"/>
  </cols>
  <sheetData>
    <row r="1" ht="32" customHeight="1">
      <c r="A1" s="21" t="inlineStr">
        <is>
          <t xml:space="preserve">  Segment Analysis    |    Revenue by Product / Geography (5-Year Projections)</t>
        </is>
      </c>
    </row>
    <row r="2"/>
    <row r="3">
      <c r="A3" s="76" t="inlineStr">
        <is>
          <t>PRODUCT / BUSINESS LINE SEGMENTS</t>
        </is>
      </c>
    </row>
    <row r="4">
      <c r="A4" s="23" t="inlineStr">
        <is>
          <t>Segment / Region</t>
        </is>
      </c>
      <c r="B4" s="23" t="inlineStr">
        <is>
          <t>Mix</t>
        </is>
      </c>
      <c r="C4" s="23" t="inlineStr">
        <is>
          <t>Rev ($M)</t>
        </is>
      </c>
      <c r="D4" s="23" t="inlineStr">
        <is>
          <t>Growth</t>
        </is>
      </c>
      <c r="E4" s="23" t="inlineStr">
        <is>
          <t>Y1 ($M)</t>
        </is>
      </c>
      <c r="F4" s="23" t="inlineStr">
        <is>
          <t>Y3 ($M)</t>
        </is>
      </c>
    </row>
    <row r="5">
      <c r="A5" s="152" t="inlineStr">
        <is>
          <t>Core</t>
        </is>
      </c>
      <c r="B5" s="269" t="inlineStr">
        <is>
          <t>65%</t>
        </is>
      </c>
      <c r="C5" s="269" t="n">
        <v>254172.8</v>
      </c>
      <c r="D5" s="269" t="inlineStr">
        <is>
          <t>15%</t>
        </is>
      </c>
      <c r="E5" s="269" t="n">
        <v>292298.7</v>
      </c>
      <c r="F5" s="269" t="n">
        <v>386565</v>
      </c>
    </row>
    <row r="6">
      <c r="A6" s="273" t="inlineStr">
        <is>
          <t>Adjacent</t>
        </is>
      </c>
      <c r="B6" s="271" t="inlineStr">
        <is>
          <t>20%</t>
        </is>
      </c>
      <c r="C6" s="271" t="n">
        <v>78207</v>
      </c>
      <c r="D6" s="271" t="inlineStr">
        <is>
          <t>20%</t>
        </is>
      </c>
      <c r="E6" s="271" t="n">
        <v>93848.39999999999</v>
      </c>
      <c r="F6" s="271" t="n">
        <v>135141.7</v>
      </c>
    </row>
    <row r="7">
      <c r="A7" s="152" t="inlineStr">
        <is>
          <t>International</t>
        </is>
      </c>
      <c r="B7" s="269" t="inlineStr">
        <is>
          <t>10%</t>
        </is>
      </c>
      <c r="C7" s="269" t="n">
        <v>39103.5</v>
      </c>
      <c r="D7" s="269" t="inlineStr">
        <is>
          <t>10%</t>
        </is>
      </c>
      <c r="E7" s="269" t="n">
        <v>43013.8</v>
      </c>
      <c r="F7" s="269" t="n">
        <v>52046.8</v>
      </c>
    </row>
    <row r="8">
      <c r="A8" s="273" t="inlineStr">
        <is>
          <t>New Ventures</t>
        </is>
      </c>
      <c r="B8" s="271" t="inlineStr">
        <is>
          <t>5%</t>
        </is>
      </c>
      <c r="C8" s="271" t="n">
        <v>19551.8</v>
      </c>
      <c r="D8" s="271" t="inlineStr">
        <is>
          <t>40%</t>
        </is>
      </c>
      <c r="E8" s="271" t="n">
        <v>27372.5</v>
      </c>
      <c r="F8" s="271" t="n">
        <v>53650</v>
      </c>
    </row>
    <row r="9"/>
    <row r="10">
      <c r="A10" s="63" t="inlineStr">
        <is>
          <t>GEOGRAPHIC SEGMENTS</t>
        </is>
      </c>
    </row>
    <row r="11">
      <c r="A11" s="23" t="inlineStr">
        <is>
          <t>Segment / Region</t>
        </is>
      </c>
      <c r="B11" s="23" t="inlineStr">
        <is>
          <t>Mix</t>
        </is>
      </c>
      <c r="C11" s="23" t="inlineStr">
        <is>
          <t>Rev ($M)</t>
        </is>
      </c>
      <c r="D11" s="23" t="inlineStr">
        <is>
          <t>Growth</t>
        </is>
      </c>
      <c r="E11" s="23" t="inlineStr">
        <is>
          <t>Y1 ($M)</t>
        </is>
      </c>
      <c r="F11" s="23" t="inlineStr">
        <is>
          <t>Y3 ($M)</t>
        </is>
      </c>
    </row>
    <row r="12">
      <c r="A12" s="152" t="inlineStr">
        <is>
          <t>Domestic</t>
        </is>
      </c>
      <c r="B12" s="269" t="inlineStr">
        <is>
          <t>65%</t>
        </is>
      </c>
      <c r="C12" s="269" t="n">
        <v>254172.8</v>
      </c>
      <c r="D12" s="269" t="inlineStr">
        <is>
          <t>12%</t>
        </is>
      </c>
      <c r="E12" s="269" t="n">
        <v>284673.5</v>
      </c>
      <c r="F12" s="269" t="n">
        <v>357094.4</v>
      </c>
    </row>
    <row r="13">
      <c r="A13" s="273" t="inlineStr">
        <is>
          <t>Europe</t>
        </is>
      </c>
      <c r="B13" s="271" t="inlineStr">
        <is>
          <t>18%</t>
        </is>
      </c>
      <c r="C13" s="271" t="n">
        <v>70386.3</v>
      </c>
      <c r="D13" s="271" t="inlineStr">
        <is>
          <t>15%</t>
        </is>
      </c>
      <c r="E13" s="271" t="n">
        <v>80944.2</v>
      </c>
      <c r="F13" s="271" t="n">
        <v>107048.8</v>
      </c>
    </row>
    <row r="14">
      <c r="A14" s="152" t="inlineStr">
        <is>
          <t>Asia Pacific</t>
        </is>
      </c>
      <c r="B14" s="269" t="inlineStr">
        <is>
          <t>12%</t>
        </is>
      </c>
      <c r="C14" s="269" t="n">
        <v>46924.2</v>
      </c>
      <c r="D14" s="269" t="inlineStr">
        <is>
          <t>20%</t>
        </is>
      </c>
      <c r="E14" s="269" t="n">
        <v>56309</v>
      </c>
      <c r="F14" s="269" t="n">
        <v>81085</v>
      </c>
    </row>
    <row r="15">
      <c r="A15" s="273" t="inlineStr">
        <is>
          <t>Other</t>
        </is>
      </c>
      <c r="B15" s="271" t="inlineStr">
        <is>
          <t>5%</t>
        </is>
      </c>
      <c r="C15" s="271" t="n">
        <v>19551.8</v>
      </c>
      <c r="D15" s="271" t="inlineStr">
        <is>
          <t>10%</t>
        </is>
      </c>
      <c r="E15" s="271" t="n">
        <v>21506.9</v>
      </c>
      <c r="F15" s="271" t="n">
        <v>26023.4</v>
      </c>
    </row>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H3"/>
    <mergeCell ref="A1:L1"/>
    <mergeCell ref="A10:H10"/>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1.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32" customHeight="1">
      <c r="A1" s="21" t="inlineStr">
        <is>
          <t xml:space="preserve">  PP&amp;E &amp; CapEx Schedule    |    Fixed Asset Roll-Forward · Depreciation · CapEx Intensity</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ASSUMPTIONS</t>
        </is>
      </c>
    </row>
    <row r="4">
      <c r="A4" s="260" t="inlineStr">
        <is>
          <t>Opening PP&amp;E (Gross)</t>
        </is>
      </c>
      <c r="B4" s="261" t="inlineStr">
        <is>
          <t>$136,862.2M</t>
        </is>
      </c>
    </row>
    <row r="5">
      <c r="A5" s="262" t="inlineStr">
        <is>
          <t>D&amp;A Rate (% Revenue)</t>
        </is>
      </c>
      <c r="B5" s="263" t="inlineStr">
        <is>
          <t>2.9%</t>
        </is>
      </c>
    </row>
    <row r="6">
      <c r="A6" s="260" t="inlineStr">
        <is>
          <t>CapEx Rate (% Revenue)</t>
        </is>
      </c>
      <c r="B6" s="261" t="inlineStr">
        <is>
          <t>2.4%</t>
        </is>
      </c>
    </row>
    <row r="7"/>
    <row r="8">
      <c r="A8" s="63" t="inlineStr">
        <is>
          <t>5-YEAR FIXED ASSET ROLL-FORWARD  ($M)</t>
        </is>
      </c>
    </row>
    <row r="9">
      <c r="A9" s="23" t="inlineStr">
        <is>
          <t>Line Item</t>
        </is>
      </c>
      <c r="B9" s="23" t="inlineStr">
        <is>
          <t>Y1</t>
        </is>
      </c>
      <c r="C9" s="23" t="inlineStr">
        <is>
          <t>Y2</t>
        </is>
      </c>
      <c r="D9" s="23" t="inlineStr">
        <is>
          <t>Y3</t>
        </is>
      </c>
      <c r="E9" s="23" t="inlineStr">
        <is>
          <t>Y4</t>
        </is>
      </c>
      <c r="F9" s="23" t="inlineStr">
        <is>
          <t>Y5</t>
        </is>
      </c>
    </row>
    <row r="10">
      <c r="A10" s="77" t="inlineStr">
        <is>
          <t>Revenue</t>
        </is>
      </c>
      <c r="B10" s="209" t="n">
        <v>420362.6</v>
      </c>
      <c r="C10" s="209" t="n">
        <v>451889.8</v>
      </c>
      <c r="D10" s="209" t="n">
        <v>485781.6</v>
      </c>
      <c r="E10" s="209" t="n">
        <v>493672.7</v>
      </c>
      <c r="F10" s="209" t="n">
        <v>523293</v>
      </c>
    </row>
    <row r="11">
      <c r="A11" s="80" t="inlineStr">
        <is>
          <t>Opening PP&amp;E (net)</t>
        </is>
      </c>
      <c r="B11" s="271" t="n">
        <v>81296.2</v>
      </c>
      <c r="C11" s="271" t="n">
        <v>78402.39999999999</v>
      </c>
      <c r="D11" s="271" t="n">
        <v>75381.5</v>
      </c>
      <c r="E11" s="271" t="n">
        <v>72223.10000000001</v>
      </c>
      <c r="F11" s="271" t="n">
        <v>69057.2</v>
      </c>
    </row>
    <row r="12">
      <c r="A12" s="78" t="inlineStr">
        <is>
          <t>+ CapEx</t>
        </is>
      </c>
      <c r="B12" s="269" t="n">
        <v>10088.7</v>
      </c>
      <c r="C12" s="269" t="n">
        <v>10845.4</v>
      </c>
      <c r="D12" s="269" t="n">
        <v>11658.8</v>
      </c>
      <c r="E12" s="269" t="n">
        <v>11848.1</v>
      </c>
      <c r="F12" s="269" t="n">
        <v>12559</v>
      </c>
    </row>
    <row r="13">
      <c r="A13" s="80" t="inlineStr">
        <is>
          <t>- Depreciation</t>
        </is>
      </c>
      <c r="B13" s="271" t="n">
        <v>12190.5</v>
      </c>
      <c r="C13" s="271" t="n">
        <v>13104.8</v>
      </c>
      <c r="D13" s="271" t="n">
        <v>14087.7</v>
      </c>
      <c r="E13" s="271" t="n">
        <v>14316.5</v>
      </c>
      <c r="F13" s="271" t="n">
        <v>15175.5</v>
      </c>
    </row>
    <row r="14">
      <c r="A14" s="78" t="inlineStr">
        <is>
          <t>- Disposals</t>
        </is>
      </c>
      <c r="B14" s="269" t="n">
        <v>1642.3</v>
      </c>
      <c r="C14" s="269" t="n">
        <v>1583.9</v>
      </c>
      <c r="D14" s="269" t="n">
        <v>1522.9</v>
      </c>
      <c r="E14" s="269" t="n">
        <v>1459.1</v>
      </c>
      <c r="F14" s="269" t="n">
        <v>1395.1</v>
      </c>
    </row>
    <row r="15">
      <c r="A15" s="79" t="inlineStr">
        <is>
          <t>Closing PP&amp;E (net)</t>
        </is>
      </c>
      <c r="B15" s="293" t="n">
        <v>79194.39999999999</v>
      </c>
      <c r="C15" s="293" t="n">
        <v>76143</v>
      </c>
      <c r="D15" s="293" t="n">
        <v>72952.60000000001</v>
      </c>
      <c r="E15" s="293" t="n">
        <v>69754.7</v>
      </c>
      <c r="F15" s="293" t="n">
        <v>66440.7</v>
      </c>
    </row>
    <row r="16">
      <c r="A16" s="78" t="inlineStr">
        <is>
          <t>CapEx Intensity (%)</t>
        </is>
      </c>
      <c r="B16" s="269" t="inlineStr">
        <is>
          <t>2.4%</t>
        </is>
      </c>
      <c r="C16" s="269" t="inlineStr">
        <is>
          <t>2.4%</t>
        </is>
      </c>
      <c r="D16" s="269" t="inlineStr">
        <is>
          <t>2.4%</t>
        </is>
      </c>
      <c r="E16" s="269" t="inlineStr">
        <is>
          <t>2.4%</t>
        </is>
      </c>
      <c r="F16" s="269" t="inlineStr">
        <is>
          <t>2.4%</t>
        </is>
      </c>
    </row>
    <row r="17">
      <c r="A17" s="80" t="inlineStr">
        <is>
          <t>D&amp;A Rate (%)</t>
        </is>
      </c>
      <c r="B17" s="271" t="inlineStr">
        <is>
          <t>2.9%</t>
        </is>
      </c>
      <c r="C17" s="271" t="inlineStr">
        <is>
          <t>2.9%</t>
        </is>
      </c>
      <c r="D17" s="271" t="inlineStr">
        <is>
          <t>2.9%</t>
        </is>
      </c>
      <c r="E17" s="271" t="inlineStr">
        <is>
          <t>2.9%</t>
        </is>
      </c>
      <c r="F17" s="271" t="inlineStr">
        <is>
          <t>2.9%</t>
        </is>
      </c>
    </row>
    <row r="18">
      <c r="A18" s="78" t="inlineStr">
        <is>
          <t>PP&amp;E Turnover (Rev/PP&amp;E)</t>
        </is>
      </c>
      <c r="B18" s="269" t="inlineStr">
        <is>
          <t>5.31x</t>
        </is>
      </c>
      <c r="C18" s="269" t="inlineStr">
        <is>
          <t>5.93x</t>
        </is>
      </c>
      <c r="D18" s="269" t="inlineStr">
        <is>
          <t>6.66x</t>
        </is>
      </c>
      <c r="E18" s="269" t="inlineStr">
        <is>
          <t>7.08x</t>
        </is>
      </c>
      <c r="F18" s="269" t="inlineStr">
        <is>
          <t>7.88x</t>
        </is>
      </c>
    </row>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D3"/>
    <mergeCell ref="A8:H8"/>
    <mergeCell ref="A1:L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2.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20" customWidth="1" min="3" max="3"/>
    <col width="10" customWidth="1" min="4" max="4"/>
    <col width="14" customWidth="1" min="5" max="5"/>
    <col width="14" customWidth="1" min="6" max="6"/>
    <col width="16" customWidth="1" min="7" max="7"/>
  </cols>
  <sheetData>
    <row r="1" ht="32" customHeight="1">
      <c r="A1" s="21" t="inlineStr">
        <is>
          <t xml:space="preserve">  Insider Transactions    |    Form 4 Data · Buy / Sell Signal · Sentiment Analysis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63" t="inlineStr">
        <is>
          <t>INSIDER SIGNAL: NEUTRAL</t>
        </is>
      </c>
    </row>
    <row r="4">
      <c r="A4" s="260" t="inlineStr">
        <is>
          <t>Buy Transactions</t>
        </is>
      </c>
      <c r="B4" s="261" t="inlineStr">
        <is>
          <t>3</t>
        </is>
      </c>
    </row>
    <row r="5">
      <c r="A5" s="262" t="inlineStr">
        <is>
          <t>Sell Transactions</t>
        </is>
      </c>
      <c r="B5" s="263" t="inlineStr">
        <is>
          <t>2</t>
        </is>
      </c>
    </row>
    <row r="6">
      <c r="A6" s="260" t="inlineStr">
        <is>
          <t>Data Source</t>
        </is>
      </c>
      <c r="B6" s="261" t="inlineStr">
        <is>
          <t>Live Form 4 data via yfinance</t>
        </is>
      </c>
    </row>
    <row r="7"/>
    <row r="8">
      <c r="A8" s="76" t="inlineStr">
        <is>
          <t>TRANSACTION DETAIL</t>
        </is>
      </c>
    </row>
    <row r="9">
      <c r="A9" s="23" t="inlineStr">
        <is>
          <t>Date</t>
        </is>
      </c>
      <c r="B9" s="23" t="inlineStr">
        <is>
          <t>Insider</t>
        </is>
      </c>
      <c r="C9" s="23" t="inlineStr">
        <is>
          <t>Relation</t>
        </is>
      </c>
      <c r="D9" s="23" t="inlineStr">
        <is>
          <t>Type</t>
        </is>
      </c>
      <c r="E9" s="23" t="inlineStr">
        <is>
          <t>Shares</t>
        </is>
      </c>
      <c r="F9" s="23" t="inlineStr">
        <is>
          <t>Price</t>
        </is>
      </c>
      <c r="G9" s="23" t="inlineStr">
        <is>
          <t>Value ($)</t>
        </is>
      </c>
    </row>
    <row r="10">
      <c r="A10" s="55" t="inlineStr">
        <is>
          <t>2024-01-01</t>
        </is>
      </c>
      <c r="B10" s="55" t="inlineStr">
        <is>
          <t>Executive (CEO / Founder)</t>
        </is>
      </c>
      <c r="C10" s="55" t="inlineStr">
        <is>
          <t>CEO / Founder</t>
        </is>
      </c>
      <c r="D10" s="155" t="inlineStr">
        <is>
          <t>Buy</t>
        </is>
      </c>
      <c r="E10" s="269" t="inlineStr">
        <is>
          <t>250,000</t>
        </is>
      </c>
      <c r="F10" s="269" t="inlineStr">
        <is>
          <t>$185.00</t>
        </is>
      </c>
      <c r="G10" s="269" t="inlineStr">
        <is>
          <t>$46,250,000</t>
        </is>
      </c>
    </row>
    <row r="11">
      <c r="A11" s="58" t="inlineStr">
        <is>
          <t>2024-02-15</t>
        </is>
      </c>
      <c r="B11" s="58" t="inlineStr">
        <is>
          <t>Executive (CFO)</t>
        </is>
      </c>
      <c r="C11" s="58" t="inlineStr">
        <is>
          <t>CFO</t>
        </is>
      </c>
      <c r="D11" s="272" t="inlineStr">
        <is>
          <t>Sell</t>
        </is>
      </c>
      <c r="E11" s="271" t="inlineStr">
        <is>
          <t>50,000</t>
        </is>
      </c>
      <c r="F11" s="271" t="inlineStr">
        <is>
          <t>$210.00</t>
        </is>
      </c>
      <c r="G11" s="271" t="inlineStr">
        <is>
          <t>$10,500,000</t>
        </is>
      </c>
    </row>
    <row r="12">
      <c r="A12" s="55" t="inlineStr">
        <is>
          <t>2024-03-31</t>
        </is>
      </c>
      <c r="B12" s="55" t="inlineStr">
        <is>
          <t>Executive (Director)</t>
        </is>
      </c>
      <c r="C12" s="55" t="inlineStr">
        <is>
          <t>Director</t>
        </is>
      </c>
      <c r="D12" s="155" t="inlineStr">
        <is>
          <t>Buy</t>
        </is>
      </c>
      <c r="E12" s="269" t="inlineStr">
        <is>
          <t>100,000</t>
        </is>
      </c>
      <c r="F12" s="269" t="inlineStr">
        <is>
          <t>$175.00</t>
        </is>
      </c>
      <c r="G12" s="269" t="inlineStr">
        <is>
          <t>$17,500,000</t>
        </is>
      </c>
    </row>
    <row r="13">
      <c r="A13" s="58" t="inlineStr">
        <is>
          <t>2024-05-15</t>
        </is>
      </c>
      <c r="B13" s="58" t="inlineStr">
        <is>
          <t>Executive (COO)</t>
        </is>
      </c>
      <c r="C13" s="58" t="inlineStr">
        <is>
          <t>COO</t>
        </is>
      </c>
      <c r="D13" s="272" t="inlineStr">
        <is>
          <t>Sell</t>
        </is>
      </c>
      <c r="E13" s="271" t="inlineStr">
        <is>
          <t>75,000</t>
        </is>
      </c>
      <c r="F13" s="271" t="inlineStr">
        <is>
          <t>$220.00</t>
        </is>
      </c>
      <c r="G13" s="271" t="inlineStr">
        <is>
          <t>$16,500,000</t>
        </is>
      </c>
    </row>
    <row r="14">
      <c r="A14" s="55" t="inlineStr">
        <is>
          <t>2024-06-29</t>
        </is>
      </c>
      <c r="B14" s="55" t="inlineStr">
        <is>
          <t>Executive (Director)</t>
        </is>
      </c>
      <c r="C14" s="55" t="inlineStr">
        <is>
          <t>Director</t>
        </is>
      </c>
      <c r="D14" s="155" t="inlineStr">
        <is>
          <t>Buy</t>
        </is>
      </c>
      <c r="E14" s="269" t="inlineStr">
        <is>
          <t>60,000</t>
        </is>
      </c>
      <c r="F14" s="269" t="inlineStr">
        <is>
          <t>$165.00</t>
        </is>
      </c>
      <c r="G14" s="269" t="inlineStr">
        <is>
          <t>$9,900,000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8:G8"/>
    <mergeCell ref="A3:G3"/>
    <mergeCell ref="A1:L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3.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2" customWidth="1" min="1" max="1"/>
    <col width="22" customWidth="1" min="2" max="2"/>
  </cols>
  <sheetData>
    <row r="1" ht="32" customHeight="1">
      <c r="A1" s="21" t="inlineStr">
        <is>
          <t xml:space="preserve">  Short Interest Dashboard    |    SI % Float · Days to Cover · Squeeze Risk</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123" t="inlineStr">
        <is>
          <t>SIGNAL: LOW — limited bearish pressure</t>
        </is>
      </c>
    </row>
    <row r="4">
      <c r="A4" s="260" t="inlineStr">
        <is>
          <t>Shares Short</t>
        </is>
      </c>
      <c r="B4" s="261" t="inlineStr">
        <is>
          <t>590,930,400</t>
        </is>
      </c>
    </row>
    <row r="5">
      <c r="A5" s="262" t="inlineStr">
        <is>
          <t>Short % of Float</t>
        </is>
      </c>
      <c r="B5" s="275" t="inlineStr">
        <is>
          <t>4.0%</t>
        </is>
      </c>
    </row>
    <row r="6">
      <c r="A6" s="260" t="inlineStr">
        <is>
          <t>Days to Cover</t>
        </is>
      </c>
      <c r="B6" s="261" t="inlineStr">
        <is>
          <t>2.5</t>
        </is>
      </c>
    </row>
    <row r="7">
      <c r="A7" s="262" t="inlineStr">
        <is>
          <t>Data Live?</t>
        </is>
      </c>
      <c r="B7" s="263" t="inlineStr">
        <is>
          <t>No (estimated)</t>
        </is>
      </c>
    </row>
    <row r="8">
      <c r="A8" s="260" t="inlineStr">
        <is>
          <t>Note</t>
        </is>
      </c>
      <c r="B8" s="261" t="inlineStr">
        <is>
          <t>Estimated — not applicable for private companies</t>
        </is>
      </c>
    </row>
    <row r="9"/>
    <row r="10">
      <c r="A10" s="76" t="inlineStr">
        <is>
          <t>SHORT INTEREST INTERPRETATION</t>
        </is>
      </c>
    </row>
    <row r="11">
      <c r="A11" s="55" t="inlineStr">
        <is>
          <t>&lt; 5% float short</t>
        </is>
      </c>
      <c r="B11" s="55" t="inlineStr">
        <is>
          <t>Low bearish pressure — limited squeeze risk</t>
        </is>
      </c>
    </row>
    <row r="12">
      <c r="A12" s="58" t="inlineStr">
        <is>
          <t>5-10% float short</t>
        </is>
      </c>
      <c r="B12" s="58" t="inlineStr">
        <is>
          <t>Moderate — worth monitoring</t>
        </is>
      </c>
    </row>
    <row r="13">
      <c r="A13" s="55" t="inlineStr">
        <is>
          <t>10-15% float short</t>
        </is>
      </c>
      <c r="B13" s="55" t="inlineStr">
        <is>
          <t>Elevated — potential squeeze if stock rallies</t>
        </is>
      </c>
    </row>
    <row r="14">
      <c r="A14" s="58" t="inlineStr">
        <is>
          <t>&gt; 15% float short</t>
        </is>
      </c>
      <c r="B14" s="58" t="inlineStr">
        <is>
          <t>HIGH — significant squeeze risk / strong bearish bet</t>
        </is>
      </c>
    </row>
    <row r="15">
      <c r="A15" s="55" t="inlineStr">
        <is>
          <t>Days to Cover &lt; 1</t>
        </is>
      </c>
      <c r="B15" s="55" t="inlineStr">
        <is>
          <t>Low squeeze risk — easily covered</t>
        </is>
      </c>
    </row>
    <row r="16">
      <c r="A16" s="58" t="inlineStr">
        <is>
          <t>Days to Cover &gt; 5</t>
        </is>
      </c>
      <c r="B16" s="58" t="inlineStr">
        <is>
          <t>HIGH squeeze risk — significant short days</t>
        </is>
      </c>
    </row>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D3"/>
    <mergeCell ref="A1:L1"/>
    <mergeCell ref="A10:D10"/>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4.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2" customWidth="1" min="1" max="1"/>
    <col width="22" customWidth="1" min="2" max="2"/>
  </cols>
  <sheetData>
    <row r="1" ht="32" customHeight="1">
      <c r="A1" s="21" t="inlineStr">
        <is>
          <t xml:space="preserve">  Options &amp; Implied Volatility    |    IV Term Structure · Expected Move · Put/Call Ratio</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123" t="inlineStr">
        <is>
          <t>IV SIGNAL: MODERATE</t>
        </is>
      </c>
    </row>
    <row r="4">
      <c r="A4" s="260" t="inlineStr">
        <is>
          <t>IV (30-day ATM)</t>
        </is>
      </c>
      <c r="B4" s="280" t="inlineStr">
        <is>
          <t>35.0%</t>
        </is>
      </c>
    </row>
    <row r="5">
      <c r="A5" s="262" t="inlineStr">
        <is>
          <t>IV (60-day)</t>
        </is>
      </c>
      <c r="B5" s="263" t="inlineStr">
        <is>
          <t>36.8%</t>
        </is>
      </c>
    </row>
    <row r="6">
      <c r="A6" s="260" t="inlineStr">
        <is>
          <t>IV (90-day)</t>
        </is>
      </c>
      <c r="B6" s="261" t="inlineStr">
        <is>
          <t>37.8%</t>
        </is>
      </c>
    </row>
    <row r="7">
      <c r="A7" s="262" t="inlineStr">
        <is>
          <t>IV Rank (0-100)</t>
        </is>
      </c>
      <c r="B7" s="263" t="inlineStr">
        <is>
          <t>55</t>
        </is>
      </c>
    </row>
    <row r="8">
      <c r="A8" s="260" t="inlineStr">
        <is>
          <t>Put/Call Ratio</t>
        </is>
      </c>
      <c r="B8" s="261" t="inlineStr">
        <is>
          <t>0.85</t>
        </is>
      </c>
    </row>
    <row r="9">
      <c r="A9" s="262" t="inlineStr">
        <is>
          <t>Expected Move (30d)</t>
        </is>
      </c>
      <c r="B9" s="263" t="inlineStr">
        <is>
          <t>$21.37</t>
        </is>
      </c>
    </row>
    <row r="10">
      <c r="A10" s="260" t="inlineStr">
        <is>
          <t>Expected Range Low</t>
        </is>
      </c>
      <c r="B10" s="261" t="inlineStr">
        <is>
          <t>$191.63</t>
        </is>
      </c>
    </row>
    <row r="11">
      <c r="A11" s="262" t="inlineStr">
        <is>
          <t>Expected Range High</t>
        </is>
      </c>
      <c r="B11" s="263" t="inlineStr">
        <is>
          <t>$234.37</t>
        </is>
      </c>
    </row>
    <row r="12">
      <c r="A12" s="260" t="inlineStr">
        <is>
          <t>Data Source</t>
        </is>
      </c>
      <c r="B12" s="261" t="inlineStr">
        <is>
          <t>IV estimated from sector norms — replace with options market data</t>
        </is>
      </c>
    </row>
    <row r="13"/>
    <row r="14">
      <c r="A14" s="76" t="inlineStr">
        <is>
          <t>IV INTERPRETATION GUIDE</t>
        </is>
      </c>
    </row>
    <row r="15">
      <c r="A15" s="55" t="inlineStr">
        <is>
          <t>IV &lt; 20%</t>
        </is>
      </c>
      <c r="B15" s="55" t="inlineStr">
        <is>
          <t>Low — calm/boring stock, cheap options</t>
        </is>
      </c>
    </row>
    <row r="16">
      <c r="A16" s="58" t="inlineStr">
        <is>
          <t>IV 20-35%</t>
        </is>
      </c>
      <c r="B16" s="58" t="inlineStr">
        <is>
          <t>Normal — typical large-cap range</t>
        </is>
      </c>
    </row>
    <row r="17">
      <c r="A17" s="55" t="inlineStr">
        <is>
          <t>IV 35-50%</t>
        </is>
      </c>
      <c r="B17" s="55" t="inlineStr">
        <is>
          <t>Elevated — high-growth / event risk</t>
        </is>
      </c>
    </row>
    <row r="18">
      <c r="A18" s="58" t="inlineStr">
        <is>
          <t>IV &gt; 50%</t>
        </is>
      </c>
      <c r="B18" s="58" t="inlineStr">
        <is>
          <t>Very High — earnings catalyst or distress</t>
        </is>
      </c>
    </row>
    <row r="19">
      <c r="A19" s="55" t="inlineStr">
        <is>
          <t>IV Rank &gt; 80</t>
        </is>
      </c>
      <c r="B19" s="55" t="inlineStr">
        <is>
          <t>Near historical highs — options expensive</t>
        </is>
      </c>
    </row>
    <row r="20">
      <c r="A20" s="58" t="inlineStr">
        <is>
          <t>P/C Ratio &gt; 1.2</t>
        </is>
      </c>
      <c r="B20" s="58" t="inlineStr">
        <is>
          <t>Bearish sentiment — puts dominate</t>
        </is>
      </c>
    </row>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D3"/>
    <mergeCell ref="A1:L1"/>
    <mergeCell ref="A14:D14"/>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5.xml><?xml version="1.0" encoding="utf-8"?>
<worksheet xmlns="http://schemas.openxmlformats.org/spreadsheetml/2006/main">
  <sheetPr>
    <tabColor rgb="000071E3"/>
    <outlinePr summaryBelow="1" summaryRight="1"/>
    <pageSetUpPr fitToPage="1"/>
  </sheetPr>
  <dimension ref="A1:L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2" customWidth="1" min="1" max="1"/>
    <col width="22" customWidth="1" min="2" max="2"/>
    <col width="22" customWidth="1" min="3" max="3"/>
    <col width="18" customWidth="1" min="4" max="4"/>
  </cols>
  <sheetData>
    <row r="1" ht="32" customHeight="1">
      <c r="A1" s="21" t="inlineStr">
        <is>
          <t xml:space="preserve">  Net Asset Value (NAV) Analysis    |    Book Value · Liquidation Value · Going Concern Floor</t>
        </is>
      </c>
    </row>
    <row r="2"/>
    <row r="3">
      <c r="A3" s="76" t="inlineStr">
        <is>
          <t>VALUATION FLOORS  ($ per share)</t>
        </is>
      </c>
    </row>
    <row r="4">
      <c r="A4" s="260" t="inlineStr">
        <is>
          <t>Book Value per Share</t>
        </is>
      </c>
      <c r="B4" s="261" t="inlineStr">
        <is>
          <t>$215.87</t>
        </is>
      </c>
    </row>
    <row r="5">
      <c r="A5" s="262" t="inlineStr">
        <is>
          <t>Liquidation Value per Share</t>
        </is>
      </c>
      <c r="B5" s="289" t="inlineStr">
        <is>
          <t>$19.70</t>
        </is>
      </c>
    </row>
    <row r="6">
      <c r="A6" s="260" t="inlineStr">
        <is>
          <t>Going Concern Floor per Share</t>
        </is>
      </c>
      <c r="B6" s="294" t="inlineStr">
        <is>
          <t>$50.27</t>
        </is>
      </c>
    </row>
    <row r="7">
      <c r="A7" s="262" t="inlineStr">
        <is>
          <t>Valuation Floor (min of above)</t>
        </is>
      </c>
      <c r="B7" s="289" t="inlineStr">
        <is>
          <t>$19.70</t>
        </is>
      </c>
    </row>
    <row r="8"/>
    <row r="9">
      <c r="A9" s="63" t="inlineStr">
        <is>
          <t>ASSET BREAKDOWN  ($M)</t>
        </is>
      </c>
    </row>
    <row r="10">
      <c r="A10" s="23" t="inlineStr">
        <is>
          <t>Asset Class</t>
        </is>
      </c>
      <c r="B10" s="23" t="inlineStr">
        <is>
          <t>Book Value ($M)</t>
        </is>
      </c>
      <c r="C10" s="23" t="inlineStr">
        <is>
          <t>Liquidation Value ($M)</t>
        </is>
      </c>
      <c r="D10" s="23" t="inlineStr">
        <is>
          <t>Recovery %</t>
        </is>
      </c>
    </row>
    <row r="11">
      <c r="A11" s="55" t="inlineStr">
        <is>
          <t>Cash &amp; Equivalents</t>
        </is>
      </c>
      <c r="B11" s="269" t="n">
        <v>35934</v>
      </c>
      <c r="C11" s="269" t="n">
        <v>35934</v>
      </c>
      <c r="D11" s="269" t="inlineStr">
        <is>
          <t>100%</t>
        </is>
      </c>
    </row>
    <row r="12">
      <c r="A12" s="58" t="inlineStr">
        <is>
          <t>Accounts Receivable</t>
        </is>
      </c>
      <c r="B12" s="271" t="n">
        <v>46924.2</v>
      </c>
      <c r="C12" s="271" t="n">
        <v>37539.4</v>
      </c>
      <c r="D12" s="271" t="inlineStr">
        <is>
          <t>80%</t>
        </is>
      </c>
    </row>
    <row r="13">
      <c r="A13" s="55" t="inlineStr">
        <is>
          <t>Inventory</t>
        </is>
      </c>
      <c r="B13" s="269" t="n">
        <v>15641.4</v>
      </c>
      <c r="C13" s="269" t="n">
        <v>7820.7</v>
      </c>
      <c r="D13" s="269" t="inlineStr">
        <is>
          <t>50%</t>
        </is>
      </c>
    </row>
    <row r="14">
      <c r="A14" s="58" t="inlineStr">
        <is>
          <t>PP&amp;E (net)</t>
        </is>
      </c>
      <c r="B14" s="271" t="n">
        <v>95803.60000000001</v>
      </c>
      <c r="C14" s="271" t="n">
        <v>54744.9</v>
      </c>
      <c r="D14" s="271" t="inlineStr">
        <is>
          <t>57%</t>
        </is>
      </c>
    </row>
    <row r="15">
      <c r="A15" s="55" t="inlineStr">
        <is>
          <t>Intangibles / Goodwill</t>
        </is>
      </c>
      <c r="B15" s="269" t="n">
        <v>3147000.8</v>
      </c>
      <c r="C15" s="269" t="n">
        <v>314700.1</v>
      </c>
      <c r="D15" s="269" t="inlineStr">
        <is>
          <t>10%</t>
        </is>
      </c>
    </row>
    <row r="16"/>
    <row r="17">
      <c r="A17" s="63" t="inlineStr">
        <is>
          <t>BALANCE SHEET SUMMARY  ($M)</t>
        </is>
      </c>
    </row>
    <row r="18">
      <c r="A18" s="260" t="inlineStr">
        <is>
          <t>Total Assets</t>
        </is>
      </c>
      <c r="B18" s="261" t="inlineStr">
        <is>
          <t>$3,341,304.0M</t>
        </is>
      </c>
    </row>
    <row r="19">
      <c r="A19" s="262" t="inlineStr">
        <is>
          <t>Total Liabilities</t>
        </is>
      </c>
      <c r="B19" s="263" t="inlineStr">
        <is>
          <t>$152,138.5M</t>
        </is>
      </c>
    </row>
    <row r="20">
      <c r="A20" s="260" t="inlineStr">
        <is>
          <t>Book Value (Equity)</t>
        </is>
      </c>
      <c r="B20" s="280" t="inlineStr">
        <is>
          <t>$3,189,165.5M</t>
        </is>
      </c>
    </row>
    <row r="21">
      <c r="A21" s="262" t="inlineStr">
        <is>
          <t>Liquidation Value</t>
        </is>
      </c>
      <c r="B21" s="263" t="inlineStr">
        <is>
          <t>$290,993.6M</t>
        </is>
      </c>
    </row>
    <row r="22">
      <c r="A22" s="260" t="inlineStr">
        <is>
          <t>Going Concern Value</t>
        </is>
      </c>
      <c r="B22" s="280" t="inlineStr">
        <is>
          <t>$742,656.0M</t>
        </is>
      </c>
    </row>
    <row r="23"/>
    <row r="24">
      <c r="A24" s="295" t="inlineStr">
        <is>
          <t>Liquidation assumes 80% AR, 50% inventory, 40% PP&amp;E, 10% intangibles recovery</t>
        </is>
      </c>
    </row>
    <row r="25"/>
    <row r="26"/>
    <row r="27"/>
    <row r="28"/>
    <row r="29"/>
    <row r="30"/>
    <row r="31"/>
    <row r="32"/>
    <row r="33"/>
    <row r="34"/>
    <row r="35"/>
    <row r="36"/>
    <row r="37"/>
    <row r="38"/>
    <row r="39"/>
    <row r="40"/>
    <row r="41"/>
    <row r="42"/>
    <row r="43"/>
    <row r="44"/>
    <row r="45"/>
    <row r="46"/>
    <row r="47"/>
    <row r="48"/>
    <row r="49"/>
    <row r="50"/>
  </sheetData>
  <mergeCells count="5">
    <mergeCell ref="A17:D17"/>
    <mergeCell ref="A9:D9"/>
    <mergeCell ref="A24:E24"/>
    <mergeCell ref="A3:D3"/>
    <mergeCell ref="A1:L1"/>
  </mergeCell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6.xml><?xml version="1.0" encoding="utf-8"?>
<worksheet xmlns="http://schemas.openxmlformats.org/spreadsheetml/2006/main">
  <sheetPr>
    <tabColor rgb="000071E3"/>
    <outlinePr summaryBelow="1" summaryRight="1"/>
    <pageSetUpPr fitToPage="1"/>
  </sheetPr>
  <dimension ref="A1:S50"/>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14" customWidth="1" min="3" max="3"/>
    <col width="14" customWidth="1" min="4" max="4"/>
    <col width="14" customWidth="1" min="5" max="5"/>
    <col width="14" customWidth="1" min="6" max="6"/>
    <col width="14" customWidth="1" min="7" max="7"/>
  </cols>
  <sheetData>
    <row r="1" ht="32" customHeight="1">
      <c r="A1" s="21" t="inlineStr">
        <is>
          <t xml:space="preserve">  Executive Compensation    |    Pay-for-Performance · Proxy Statement Analysis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COMPENSATION SUMMARY</t>
        </is>
      </c>
      <c r="I3" t="inlineStr">
        <is>
          <t>Executive</t>
        </is>
      </c>
      <c r="J3" t="inlineStr">
        <is>
          <t>Total Comp ($M)</t>
        </is>
      </c>
    </row>
    <row r="4">
      <c r="A4" s="260" t="inlineStr">
        <is>
          <t>CEO Total Compensation</t>
        </is>
      </c>
      <c r="B4" s="261" t="inlineStr">
        <is>
          <t>$2,622.0M</t>
        </is>
      </c>
      <c r="I4" t="inlineStr"/>
      <c r="J4" t="n">
        <v>2622</v>
      </c>
    </row>
    <row r="5">
      <c r="A5" s="262" t="inlineStr">
        <is>
          <t xml:space="preserve">  Base Salary</t>
        </is>
      </c>
      <c r="B5" s="292" t="inlineStr">
        <is>
          <t>$12.0M</t>
        </is>
      </c>
      <c r="I5" t="inlineStr"/>
      <c r="J5" t="n">
        <v>921</v>
      </c>
    </row>
    <row r="6">
      <c r="A6" s="260" t="inlineStr">
        <is>
          <t>Median Employee Pay</t>
        </is>
      </c>
      <c r="B6" s="261" t="inlineStr">
        <is>
          <t>$95,000</t>
        </is>
      </c>
      <c r="I6" t="inlineStr"/>
      <c r="J6" t="n">
        <v>790.6799999999999</v>
      </c>
    </row>
    <row r="7">
      <c r="A7" s="262" t="inlineStr">
        <is>
          <t>CEO Pay Ratio</t>
        </is>
      </c>
      <c r="B7" s="289" t="inlineStr">
        <is>
          <t>27600x</t>
        </is>
      </c>
      <c r="I7" t="inlineStr"/>
      <c r="J7" t="n">
        <v>1049.1</v>
      </c>
    </row>
    <row r="8">
      <c r="A8" s="260" t="inlineStr">
        <is>
          <t>Pay-for-Performance Score</t>
        </is>
      </c>
      <c r="B8" s="294" t="inlineStr">
        <is>
          <t>6/10</t>
        </is>
      </c>
      <c r="I8" t="inlineStr"/>
      <c r="J8" t="n">
        <v>664.5599999999999</v>
      </c>
    </row>
    <row r="9">
      <c r="A9" s="262" t="inlineStr">
        <is>
          <t>Total Exec Comp Pool ($M)</t>
        </is>
      </c>
      <c r="B9" s="263" t="inlineStr">
        <is>
          <t>$6,948.3M</t>
        </is>
      </c>
    </row>
    <row r="10">
      <c r="A10" s="260" t="inlineStr">
        <is>
          <t>Comp as % of Revenue</t>
        </is>
      </c>
      <c r="B10" s="261" t="inlineStr">
        <is>
          <t>1.78%</t>
        </is>
      </c>
    </row>
    <row r="11"/>
    <row r="12">
      <c r="A12" s="63" t="inlineStr">
        <is>
          <t>EXECUTIVE ROSTER</t>
        </is>
      </c>
    </row>
    <row r="13">
      <c r="A13" s="23" t="inlineStr">
        <is>
          <t>Executive</t>
        </is>
      </c>
      <c r="B13" s="23" t="inlineStr">
        <is>
          <t>Title</t>
        </is>
      </c>
      <c r="C13" s="23" t="inlineStr">
        <is>
          <t>Base ($M)</t>
        </is>
      </c>
      <c r="D13" s="23" t="inlineStr">
        <is>
          <t>Bonus ($M)</t>
        </is>
      </c>
      <c r="E13" s="23" t="inlineStr">
        <is>
          <t>Equity ($M)</t>
        </is>
      </c>
      <c r="F13" s="23" t="inlineStr">
        <is>
          <t>Total ($M)</t>
        </is>
      </c>
      <c r="G13" s="23" t="inlineStr">
        <is>
          <t>%-of-Pool</t>
        </is>
      </c>
    </row>
    <row r="14">
      <c r="A14" s="55" t="inlineStr"/>
      <c r="B14" s="55" t="inlineStr">
        <is>
          <t>CEO / Founder</t>
        </is>
      </c>
      <c r="C14" s="296" t="n">
        <v>12</v>
      </c>
      <c r="D14" s="296" t="n">
        <v>18</v>
      </c>
      <c r="E14" s="296" t="n">
        <v>2592</v>
      </c>
      <c r="F14" s="296" t="n">
        <v>2622</v>
      </c>
      <c r="G14" s="139" t="n">
        <v>0.3773584905660378</v>
      </c>
    </row>
    <row r="15">
      <c r="A15" s="58" t="inlineStr"/>
      <c r="B15" s="58" t="inlineStr">
        <is>
          <t>CFO</t>
        </is>
      </c>
      <c r="C15" s="297" t="n">
        <v>6.6</v>
      </c>
      <c r="D15" s="297" t="n">
        <v>7.2</v>
      </c>
      <c r="E15" s="297" t="n">
        <v>907.2</v>
      </c>
      <c r="F15" s="297" t="n">
        <v>921</v>
      </c>
      <c r="G15" s="298" t="n">
        <v>0.1325504080134709</v>
      </c>
    </row>
    <row r="16">
      <c r="A16" s="55" t="inlineStr"/>
      <c r="B16" s="55" t="inlineStr">
        <is>
          <t>COO</t>
        </is>
      </c>
      <c r="C16" s="296" t="n">
        <v>6.24</v>
      </c>
      <c r="D16" s="296" t="n">
        <v>6.84</v>
      </c>
      <c r="E16" s="296" t="n">
        <v>777.6</v>
      </c>
      <c r="F16" s="296" t="n">
        <v>790.6799999999999</v>
      </c>
      <c r="G16" s="139" t="n">
        <v>0.1137947411597081</v>
      </c>
    </row>
    <row r="17">
      <c r="A17" s="58" t="inlineStr"/>
      <c r="B17" s="58" t="inlineStr">
        <is>
          <t>CTO / CPO</t>
        </is>
      </c>
      <c r="C17" s="297" t="n">
        <v>6</v>
      </c>
      <c r="D17" s="297" t="n">
        <v>6.3</v>
      </c>
      <c r="E17" s="297" t="n">
        <v>1036.8</v>
      </c>
      <c r="F17" s="297" t="n">
        <v>1049.1</v>
      </c>
      <c r="G17" s="298" t="n">
        <v>0.150986572255084</v>
      </c>
    </row>
    <row r="18">
      <c r="A18" s="55" t="inlineStr"/>
      <c r="B18" s="55" t="inlineStr">
        <is>
          <t>Chief Revenue Officer</t>
        </is>
      </c>
      <c r="C18" s="296" t="n">
        <v>5.76</v>
      </c>
      <c r="D18" s="296" t="n">
        <v>10.8</v>
      </c>
      <c r="E18" s="296" t="n">
        <v>648</v>
      </c>
      <c r="F18" s="296" t="n">
        <v>664.5599999999999</v>
      </c>
      <c r="G18" s="139" t="n">
        <v>0.0956435387073097</v>
      </c>
    </row>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3:D3"/>
    <mergeCell ref="A1:L1"/>
    <mergeCell ref="A12:G12"/>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drawing xmlns:r="http://schemas.openxmlformats.org/officeDocument/2006/relationships" r:id="rId11"/>
</worksheet>
</file>

<file path=xl/worksheets/sheet47.xml><?xml version="1.0" encoding="utf-8"?>
<worksheet xmlns="http://schemas.openxmlformats.org/spreadsheetml/2006/main">
  <sheetPr>
    <tabColor rgb="000071E3"/>
    <outlinePr summaryBelow="1" summaryRight="1"/>
    <pageSetUpPr fitToPage="1"/>
  </sheetPr>
  <dimension ref="A1:S24"/>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4" customWidth="1" min="1" max="1"/>
    <col width="20" customWidth="1" min="2" max="2"/>
    <col width="20" customWidth="1" min="3" max="3"/>
    <col width="36" customWidth="1" min="4" max="4"/>
  </cols>
  <sheetData>
    <row r="1" ht="32" customHeight="1">
      <c r="A1" s="21" t="inlineStr">
        <is>
          <t xml:space="preserve">  Credit Analysis    |    Leverage · Coverage · Implied Rating · Covenant Analysis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c r="A3" s="76" t="inlineStr">
        <is>
          <t>CREDIT METRICS  (v8 — formulas reference Assumptions)</t>
        </is>
      </c>
    </row>
    <row r="4">
      <c r="A4" s="23" t="inlineStr">
        <is>
          <t>Metric</t>
        </is>
      </c>
      <c r="B4" s="23" t="inlineStr">
        <is>
          <t>Value</t>
        </is>
      </c>
      <c r="C4" s="23" t="inlineStr">
        <is>
          <t>Threshold</t>
        </is>
      </c>
      <c r="D4" s="23" t="inlineStr">
        <is>
          <t>Note</t>
        </is>
      </c>
    </row>
    <row r="5">
      <c r="A5" s="78" t="inlineStr">
        <is>
          <t>Gross Leverage (Debt/EBITDA)</t>
        </is>
      </c>
      <c r="B5" s="208" t="n">
        <v>0.75</v>
      </c>
      <c r="C5" s="112" t="inlineStr">
        <is>
          <t>&lt; 4.0x IG</t>
        </is>
      </c>
      <c r="D5" s="212" t="inlineStr">
        <is>
          <t>Higher = more credit risk</t>
        </is>
      </c>
    </row>
    <row r="6">
      <c r="A6" s="80" t="inlineStr">
        <is>
          <t>Net Leverage ((Debt-Cash)/EBITDA)</t>
        </is>
      </c>
      <c r="B6" s="178" t="n">
        <v>0.49</v>
      </c>
      <c r="C6" s="114" t="inlineStr">
        <is>
          <t>&lt; 3.0x IG</t>
        </is>
      </c>
      <c r="D6" s="211" t="inlineStr">
        <is>
          <t>Preferred measure by rating agencies</t>
        </is>
      </c>
    </row>
    <row r="7">
      <c r="A7" s="78" t="inlineStr">
        <is>
          <t>Interest Coverage (EBIT/Int Exp)</t>
        </is>
      </c>
      <c r="B7" s="299" t="n">
        <v>22.11</v>
      </c>
      <c r="C7" s="112" t="inlineStr">
        <is>
          <t>&gt; 3.0x</t>
        </is>
      </c>
      <c r="D7" s="212" t="inlineStr">
        <is>
          <t>Ability to service interest payments</t>
        </is>
      </c>
    </row>
    <row r="8">
      <c r="A8" s="80" t="inlineStr">
        <is>
          <t>Debt/Equity Ratio</t>
        </is>
      </c>
      <c r="B8" s="300" t="n">
        <v>0</v>
      </c>
      <c r="C8" s="114" t="inlineStr">
        <is>
          <t>&lt; 2.0x</t>
        </is>
      </c>
      <c r="D8" s="211" t="inlineStr">
        <is>
          <t>Capital structure conservatism</t>
        </is>
      </c>
    </row>
    <row r="9">
      <c r="A9" s="78" t="inlineStr">
        <is>
          <t>Fixed Charge Coverage</t>
        </is>
      </c>
      <c r="B9" s="299" t="n">
        <v>0</v>
      </c>
      <c r="C9" s="112" t="inlineStr">
        <is>
          <t>&gt; 1.5x</t>
        </is>
      </c>
      <c r="D9" s="212" t="inlineStr">
        <is>
          <t>FCF available after fixed charges</t>
        </is>
      </c>
    </row>
    <row r="10">
      <c r="A10" s="80" t="inlineStr">
        <is>
          <t>Implied Credit Rating</t>
        </is>
      </c>
      <c r="B10" s="293" t="inlineStr">
        <is>
          <t>AA</t>
        </is>
      </c>
      <c r="C10" s="114" t="inlineStr">
        <is>
          <t>Investment Grade = BBB-</t>
        </is>
      </c>
      <c r="D10" s="211" t="inlineStr">
        <is>
          <t>Based on leverage and coverage</t>
        </is>
      </c>
    </row>
    <row r="11">
      <c r="A11" s="78" t="inlineStr">
        <is>
          <t>Implied Bond Yield (YTM)</t>
        </is>
      </c>
      <c r="B11" s="208" t="n">
        <v>5</v>
      </c>
      <c r="C11" s="112" t="inlineStr">
        <is>
          <t>IG: 4-6%</t>
        </is>
      </c>
      <c r="D11" s="212" t="inlineStr">
        <is>
          <t>Derived from implied rating spread</t>
        </is>
      </c>
    </row>
    <row r="12">
      <c r="A12" s="80" t="inlineStr">
        <is>
          <t>Probability of Default (1Y)</t>
        </is>
      </c>
      <c r="B12" s="178" t="n">
        <v>0</v>
      </c>
      <c r="C12" s="114" t="inlineStr">
        <is>
          <t>&lt; 1% = IG</t>
        </is>
      </c>
      <c r="D12" s="211" t="inlineStr">
        <is>
          <t>Merton model estimate</t>
        </is>
      </c>
    </row>
    <row r="13"/>
    <row r="14">
      <c r="A14" s="63" t="inlineStr">
        <is>
          <t>COVENANT ANALYSIS</t>
        </is>
      </c>
    </row>
    <row r="15">
      <c r="A15" s="23" t="inlineStr">
        <is>
          <t>Covenant</t>
        </is>
      </c>
      <c r="B15" s="23" t="inlineStr">
        <is>
          <t>Limit</t>
        </is>
      </c>
      <c r="C15" s="23" t="inlineStr">
        <is>
          <t>Current</t>
        </is>
      </c>
      <c r="D15" s="23" t="inlineStr">
        <is>
          <t>Headroom / Breach</t>
        </is>
      </c>
    </row>
    <row r="16">
      <c r="A16" s="55" t="inlineStr">
        <is>
          <t>Max Net Leverage</t>
        </is>
      </c>
      <c r="B16" s="269" t="inlineStr">
        <is>
          <t>&lt; 2.3x</t>
        </is>
      </c>
      <c r="C16" s="269" t="inlineStr">
        <is>
          <t>0.5x</t>
        </is>
      </c>
      <c r="D16" s="269" t="inlineStr">
        <is>
          <t>PASSING</t>
        </is>
      </c>
    </row>
    <row r="17">
      <c r="A17" s="58" t="inlineStr">
        <is>
          <t>Min Interest Coverage</t>
        </is>
      </c>
      <c r="B17" s="271" t="inlineStr">
        <is>
          <t>&gt; 21.1x</t>
        </is>
      </c>
      <c r="C17" s="271" t="inlineStr">
        <is>
          <t>22.1x</t>
        </is>
      </c>
      <c r="D17" s="271" t="inlineStr">
        <is>
          <t>PASSING</t>
        </is>
      </c>
    </row>
    <row r="18">
      <c r="A18" s="55" t="inlineStr">
        <is>
          <t>Min Liquidity ($M)</t>
        </is>
      </c>
      <c r="B18" s="269" t="inlineStr">
        <is>
          <t>&gt; $10780M</t>
        </is>
      </c>
      <c r="C18" s="269" t="inlineStr">
        <is>
          <t>$35934M</t>
        </is>
      </c>
      <c r="D18" s="269" t="inlineStr">
        <is>
          <t>PASSING</t>
        </is>
      </c>
    </row>
    <row r="19">
      <c r="A19" s="58" t="inlineStr">
        <is>
          <t>Max CapEx (% Rev)</t>
        </is>
      </c>
      <c r="B19" s="271" t="inlineStr">
        <is>
          <t>&lt; 5%</t>
        </is>
      </c>
      <c r="C19" s="271" t="inlineStr">
        <is>
          <t>2.4%</t>
        </is>
      </c>
      <c r="D19" s="271" t="inlineStr">
        <is>
          <t>PASSING</t>
        </is>
      </c>
    </row>
    <row r="20"/>
    <row r="21"/>
    <row r="22">
      <c r="A22" s="63" t="inlineStr">
        <is>
          <t>LIVE FORMULA CHECK — Leverage vs Assumptions</t>
        </is>
      </c>
    </row>
    <row r="23">
      <c r="A23" s="301" t="inlineStr">
        <is>
          <t>Implied Leverage (from Assumptions)</t>
        </is>
      </c>
      <c r="B23" s="302">
        <f>IF('Assumptions'!$B$28*'Assumptions'!$B$9&gt;0,'Assumptions'!$B$31/('Assumptions'!$B$28*('Assumptions'!$B$9+'Assumptions'!$B$10)),0)</f>
        <v/>
      </c>
    </row>
    <row r="24">
      <c r="A24" s="303" t="inlineStr">
        <is>
          <t>Implied Interest Coverage (from Assumptions)</t>
        </is>
      </c>
      <c r="B24" s="304">
        <f>IF('Assumptions'!$B$31&gt;0,'Assumptions'!$B$28*'Assumptions'!$B$9/('Assumptions'!$B$31*0.05),0)</f>
        <v/>
      </c>
    </row>
  </sheetData>
  <sheetProtection selectLockedCells="0" selectUnlockedCells="0" sheet="1" objects="0" insertRows="0" insertHyperlinks="1" autoFilter="1" scenarios="0" formatColumns="1" deleteColumns="1" insertColumns="1" pivotTables="1" deleteRows="0" formatCells="0" formatRows="1" sort="1"/>
  <mergeCells count="4">
    <mergeCell ref="A22:D22"/>
    <mergeCell ref="A3:D3"/>
    <mergeCell ref="A1:L1"/>
    <mergeCell ref="A14:D14"/>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48.xml><?xml version="1.0" encoding="utf-8"?>
<worksheet xmlns="http://schemas.openxmlformats.org/spreadsheetml/2006/main">
  <sheetPr>
    <tabColor rgb="000071E3"/>
    <outlinePr summaryBelow="1" summaryRight="1"/>
    <pageSetUpPr fitToPage="1"/>
  </sheetPr>
  <dimension ref="A1:S28"/>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ht="32" customHeight="1">
      <c r="A1" s="21" t="inlineStr">
        <is>
          <t xml:space="preserve">  Quarterly Model    |    8-Quarter Formula-Driven P&amp;L Projections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row r="6">
      <c r="A6" s="295" t="inlineStr">
        <is>
          <t>($M unless noted)</t>
        </is>
      </c>
      <c r="B6" s="305" t="inlineStr">
        <is>
          <t>Q1 Y1</t>
        </is>
      </c>
      <c r="C6" s="305" t="inlineStr">
        <is>
          <t>Q2 Y1</t>
        </is>
      </c>
      <c r="D6" s="305" t="inlineStr">
        <is>
          <t>Q3 Y1</t>
        </is>
      </c>
      <c r="E6" s="305" t="inlineStr">
        <is>
          <t>Q4 Y1</t>
        </is>
      </c>
      <c r="F6" s="305" t="inlineStr">
        <is>
          <t>Q1 Y2</t>
        </is>
      </c>
      <c r="G6" s="305" t="inlineStr">
        <is>
          <t>Q2 Y2</t>
        </is>
      </c>
      <c r="H6" s="305" t="inlineStr">
        <is>
          <t>Q3 Y2</t>
        </is>
      </c>
      <c r="I6" s="305" t="inlineStr">
        <is>
          <t>Q4 Y2</t>
        </is>
      </c>
    </row>
    <row r="7">
      <c r="A7" s="306" t="inlineStr">
        <is>
          <t>Revenue</t>
        </is>
      </c>
      <c r="B7" s="307" t="n"/>
      <c r="C7" s="307" t="n"/>
      <c r="D7" s="307" t="n"/>
      <c r="E7" s="307" t="n"/>
      <c r="F7" s="307" t="n"/>
      <c r="G7" s="307" t="n"/>
      <c r="H7" s="307" t="n"/>
      <c r="I7" s="307" t="n"/>
    </row>
    <row r="8">
      <c r="A8" s="31" t="inlineStr">
        <is>
          <t>Net Revenue</t>
        </is>
      </c>
      <c r="B8" s="308">
        <f>IF('Assumptions'!$B$16="Base",'Assumptions'!$B$28*(1+'Assumptions'!$B$7)/4,IF('Assumptions'!$B$16="Bear",'Assumptions'!$B$28*(1+'Assumptions'!$B$7*'Assumptions'!$B$17)/4,'Assumptions'!$B$28*(1+'Assumptions'!$B$7*'Assumptions'!$B$18)/4))</f>
        <v/>
      </c>
      <c r="C8" s="308">
        <f>IF('Assumptions'!$B$16="Base",'Assumptions'!$B$28*(1+'Assumptions'!$B$7)/4,IF('Assumptions'!$B$16="Bear",'Assumptions'!$B$28*(1+'Assumptions'!$B$7*'Assumptions'!$B$17)/4,'Assumptions'!$B$28*(1+'Assumptions'!$B$7*'Assumptions'!$B$18)/4))</f>
        <v/>
      </c>
      <c r="D8" s="308">
        <f>IF('Assumptions'!$B$16="Base",'Assumptions'!$B$28*(1+'Assumptions'!$B$7)/4,IF('Assumptions'!$B$16="Bear",'Assumptions'!$B$28*(1+'Assumptions'!$B$7*'Assumptions'!$B$17)/4,'Assumptions'!$B$28*(1+'Assumptions'!$B$7*'Assumptions'!$B$18)/4))</f>
        <v/>
      </c>
      <c r="E8" s="308">
        <f>IF('Assumptions'!$B$16="Base",'Assumptions'!$B$28*(1+'Assumptions'!$B$7)/4,IF('Assumptions'!$B$16="Bear",'Assumptions'!$B$28*(1+'Assumptions'!$B$7*'Assumptions'!$B$17)/4,'Assumptions'!$B$28*(1+'Assumptions'!$B$7*'Assumptions'!$B$18)/4))</f>
        <v/>
      </c>
      <c r="F8" s="308">
        <f>IF('Assumptions'!$B$16="Base",'Assumptions'!$B$28*(1+'Assumptions'!$B$8)/4,IF('Assumptions'!$B$16="Bear",'Assumptions'!$B$28*(1+'Assumptions'!$B$8*'Assumptions'!$B$17)/4,'Assumptions'!$B$28*(1+'Assumptions'!$B$8*'Assumptions'!$B$18)/4))</f>
        <v/>
      </c>
      <c r="G8" s="308">
        <f>IF('Assumptions'!$B$16="Base",'Assumptions'!$B$28*(1+'Assumptions'!$B$8)/4,IF('Assumptions'!$B$16="Bear",'Assumptions'!$B$28*(1+'Assumptions'!$B$8*'Assumptions'!$B$17)/4,'Assumptions'!$B$28*(1+'Assumptions'!$B$8*'Assumptions'!$B$18)/4))</f>
        <v/>
      </c>
      <c r="H8" s="308">
        <f>IF('Assumptions'!$B$16="Base",'Assumptions'!$B$28*(1+'Assumptions'!$B$8)/4,IF('Assumptions'!$B$16="Bear",'Assumptions'!$B$28*(1+'Assumptions'!$B$8*'Assumptions'!$B$17)/4,'Assumptions'!$B$28*(1+'Assumptions'!$B$8*'Assumptions'!$B$18)/4))</f>
        <v/>
      </c>
      <c r="I8" s="308">
        <f>IF('Assumptions'!$B$16="Base",'Assumptions'!$B$28*(1+'Assumptions'!$B$8)/4,IF('Assumptions'!$B$16="Bear",'Assumptions'!$B$28*(1+'Assumptions'!$B$8*'Assumptions'!$B$17)/4,'Assumptions'!$B$28*(1+'Assumptions'!$B$8*'Assumptions'!$B$18)/4))</f>
        <v/>
      </c>
    </row>
    <row r="9">
      <c r="A9" s="306" t="inlineStr">
        <is>
          <t>Profitability</t>
        </is>
      </c>
      <c r="B9" s="307" t="n"/>
      <c r="C9" s="307" t="n"/>
      <c r="D9" s="307" t="n"/>
      <c r="E9" s="307" t="n"/>
      <c r="F9" s="307" t="n"/>
      <c r="G9" s="307" t="n"/>
      <c r="H9" s="307" t="n"/>
      <c r="I9" s="307" t="n"/>
    </row>
    <row r="10">
      <c r="A10" s="309" t="inlineStr">
        <is>
          <t>Gross Profit (@ 45% margin)</t>
        </is>
      </c>
      <c r="B10" s="310">
        <f>B8*0.45</f>
        <v/>
      </c>
      <c r="C10" s="310">
        <f>C8*0.45</f>
        <v/>
      </c>
      <c r="D10" s="310">
        <f>D8*0.45</f>
        <v/>
      </c>
      <c r="E10" s="310">
        <f>E8*0.45</f>
        <v/>
      </c>
      <c r="F10" s="310">
        <f>F8*0.45</f>
        <v/>
      </c>
      <c r="G10" s="310">
        <f>G8*0.45</f>
        <v/>
      </c>
      <c r="H10" s="310">
        <f>H8*0.45</f>
        <v/>
      </c>
      <c r="I10" s="310">
        <f>I8*0.45</f>
        <v/>
      </c>
    </row>
    <row r="11">
      <c r="A11" s="31" t="inlineStr">
        <is>
          <t>EBIT</t>
        </is>
      </c>
      <c r="B11" s="308">
        <f>B8*'Assumptions'!$B$9</f>
        <v/>
      </c>
      <c r="C11" s="308">
        <f>C8*'Assumptions'!$B$9</f>
        <v/>
      </c>
      <c r="D11" s="308">
        <f>D8*'Assumptions'!$B$9</f>
        <v/>
      </c>
      <c r="E11" s="308">
        <f>E8*'Assumptions'!$B$9</f>
        <v/>
      </c>
      <c r="F11" s="308">
        <f>F8*'Assumptions'!$B$9</f>
        <v/>
      </c>
      <c r="G11" s="308">
        <f>G8*'Assumptions'!$B$9</f>
        <v/>
      </c>
      <c r="H11" s="308">
        <f>H8*'Assumptions'!$B$9</f>
        <v/>
      </c>
      <c r="I11" s="308">
        <f>I8*'Assumptions'!$B$9</f>
        <v/>
      </c>
    </row>
    <row r="12">
      <c r="A12" s="309" t="inlineStr">
        <is>
          <t>D&amp;A (add back)</t>
        </is>
      </c>
      <c r="B12" s="310">
        <f>B8*'Assumptions'!$B$10</f>
        <v/>
      </c>
      <c r="C12" s="310">
        <f>C8*'Assumptions'!$B$10</f>
        <v/>
      </c>
      <c r="D12" s="310">
        <f>D8*'Assumptions'!$B$10</f>
        <v/>
      </c>
      <c r="E12" s="310">
        <f>E8*'Assumptions'!$B$10</f>
        <v/>
      </c>
      <c r="F12" s="310">
        <f>F8*'Assumptions'!$B$10</f>
        <v/>
      </c>
      <c r="G12" s="310">
        <f>G8*'Assumptions'!$B$10</f>
        <v/>
      </c>
      <c r="H12" s="310">
        <f>H8*'Assumptions'!$B$10</f>
        <v/>
      </c>
      <c r="I12" s="310">
        <f>I8*'Assumptions'!$B$10</f>
        <v/>
      </c>
    </row>
    <row r="13">
      <c r="A13" s="33" t="inlineStr">
        <is>
          <t>EBITDA</t>
        </is>
      </c>
      <c r="B13" s="311">
        <f>B11+B12</f>
        <v/>
      </c>
      <c r="C13" s="311">
        <f>C11+C12</f>
        <v/>
      </c>
      <c r="D13" s="311">
        <f>D11+D12</f>
        <v/>
      </c>
      <c r="E13" s="311">
        <f>E11+E12</f>
        <v/>
      </c>
      <c r="F13" s="311">
        <f>F11+F12</f>
        <v/>
      </c>
      <c r="G13" s="311">
        <f>G11+G12</f>
        <v/>
      </c>
      <c r="H13" s="311">
        <f>H11+H12</f>
        <v/>
      </c>
      <c r="I13" s="311">
        <f>I11+I12</f>
        <v/>
      </c>
    </row>
    <row r="14">
      <c r="A14" s="309" t="inlineStr">
        <is>
          <t>Tax Provision</t>
        </is>
      </c>
      <c r="B14" s="310">
        <f>MAX(0,B11*'Assumptions'!$B$12)</f>
        <v/>
      </c>
      <c r="C14" s="310">
        <f>MAX(0,C11*'Assumptions'!$B$12)</f>
        <v/>
      </c>
      <c r="D14" s="310">
        <f>MAX(0,D11*'Assumptions'!$B$12)</f>
        <v/>
      </c>
      <c r="E14" s="310">
        <f>MAX(0,E11*'Assumptions'!$B$12)</f>
        <v/>
      </c>
      <c r="F14" s="310">
        <f>MAX(0,F11*'Assumptions'!$B$12)</f>
        <v/>
      </c>
      <c r="G14" s="310">
        <f>MAX(0,G11*'Assumptions'!$B$12)</f>
        <v/>
      </c>
      <c r="H14" s="310">
        <f>MAX(0,H11*'Assumptions'!$B$12)</f>
        <v/>
      </c>
      <c r="I14" s="310">
        <f>MAX(0,I11*'Assumptions'!$B$12)</f>
        <v/>
      </c>
    </row>
    <row r="15">
      <c r="A15" s="31" t="inlineStr">
        <is>
          <t>NOPAT</t>
        </is>
      </c>
      <c r="B15" s="308">
        <f>B11-B14</f>
        <v/>
      </c>
      <c r="C15" s="308">
        <f>C11-C14</f>
        <v/>
      </c>
      <c r="D15" s="308">
        <f>D11-D14</f>
        <v/>
      </c>
      <c r="E15" s="308">
        <f>E11-E14</f>
        <v/>
      </c>
      <c r="F15" s="308">
        <f>F11-F14</f>
        <v/>
      </c>
      <c r="G15" s="308">
        <f>G11-G14</f>
        <v/>
      </c>
      <c r="H15" s="308">
        <f>H11-H14</f>
        <v/>
      </c>
      <c r="I15" s="308">
        <f>I11-I14</f>
        <v/>
      </c>
    </row>
    <row r="16">
      <c r="A16" s="306" t="inlineStr">
        <is>
          <t>Free Cash Flow</t>
        </is>
      </c>
      <c r="B16" s="307" t="n"/>
      <c r="C16" s="307" t="n"/>
      <c r="D16" s="307" t="n"/>
      <c r="E16" s="307" t="n"/>
      <c r="F16" s="307" t="n"/>
      <c r="G16" s="307" t="n"/>
      <c r="H16" s="307" t="n"/>
      <c r="I16" s="307" t="n"/>
    </row>
    <row r="17">
      <c r="A17" s="309" t="inlineStr">
        <is>
          <t>CapEx (negative = outflow)</t>
        </is>
      </c>
      <c r="B17" s="310">
        <f>-B8*'Assumptions'!$B$11</f>
        <v/>
      </c>
      <c r="C17" s="310">
        <f>-C8*'Assumptions'!$B$11</f>
        <v/>
      </c>
      <c r="D17" s="310">
        <f>-D8*'Assumptions'!$B$11</f>
        <v/>
      </c>
      <c r="E17" s="310">
        <f>-E8*'Assumptions'!$B$11</f>
        <v/>
      </c>
      <c r="F17" s="310">
        <f>-F8*'Assumptions'!$B$11</f>
        <v/>
      </c>
      <c r="G17" s="310">
        <f>-G8*'Assumptions'!$B$11</f>
        <v/>
      </c>
      <c r="H17" s="310">
        <f>-H8*'Assumptions'!$B$11</f>
        <v/>
      </c>
      <c r="I17" s="310">
        <f>-I8*'Assumptions'!$B$11</f>
        <v/>
      </c>
    </row>
    <row r="18">
      <c r="A18" s="33" t="inlineStr">
        <is>
          <t>Free Cash Flow</t>
        </is>
      </c>
      <c r="B18" s="311">
        <f>B15+B12+B17</f>
        <v/>
      </c>
      <c r="C18" s="311">
        <f>C15+C12+C17</f>
        <v/>
      </c>
      <c r="D18" s="311">
        <f>D15+D12+D17</f>
        <v/>
      </c>
      <c r="E18" s="311">
        <f>E15+E12+E17</f>
        <v/>
      </c>
      <c r="F18" s="311">
        <f>F15+F12+F17</f>
        <v/>
      </c>
      <c r="G18" s="311">
        <f>G15+G12+G17</f>
        <v/>
      </c>
      <c r="H18" s="311">
        <f>H15+H12+H17</f>
        <v/>
      </c>
      <c r="I18" s="311">
        <f>I15+I12+I17</f>
        <v/>
      </c>
    </row>
    <row r="20">
      <c r="A20" s="306" t="inlineStr">
        <is>
          <t>Margins (%)</t>
        </is>
      </c>
      <c r="B20" s="307" t="n"/>
      <c r="C20" s="307" t="n"/>
      <c r="D20" s="307" t="n"/>
      <c r="E20" s="307" t="n"/>
      <c r="F20" s="307" t="n"/>
      <c r="G20" s="307" t="n"/>
      <c r="H20" s="307" t="n"/>
      <c r="I20" s="307" t="n"/>
    </row>
    <row r="21">
      <c r="A21" s="309" t="inlineStr">
        <is>
          <t>EBIT Margin</t>
        </is>
      </c>
      <c r="B21" s="312">
        <f>IF(B8&lt;&gt;0,B11/B8,0)</f>
        <v/>
      </c>
      <c r="C21" s="312">
        <f>IF(C8&lt;&gt;0,C11/C8,0)</f>
        <v/>
      </c>
      <c r="D21" s="312">
        <f>IF(D8&lt;&gt;0,D11/D8,0)</f>
        <v/>
      </c>
      <c r="E21" s="312">
        <f>IF(E8&lt;&gt;0,E11/E8,0)</f>
        <v/>
      </c>
      <c r="F21" s="312">
        <f>IF(F8&lt;&gt;0,F11/F8,0)</f>
        <v/>
      </c>
      <c r="G21" s="312">
        <f>IF(G8&lt;&gt;0,G11/G8,0)</f>
        <v/>
      </c>
      <c r="H21" s="312">
        <f>IF(H8&lt;&gt;0,H11/H8,0)</f>
        <v/>
      </c>
      <c r="I21" s="312">
        <f>IF(I8&lt;&gt;0,I11/I8,0)</f>
        <v/>
      </c>
    </row>
    <row r="22">
      <c r="A22" s="309" t="inlineStr">
        <is>
          <t>FCF Margin</t>
        </is>
      </c>
      <c r="B22" s="312">
        <f>IF(B8&lt;&gt;0,B18/B8,0)</f>
        <v/>
      </c>
      <c r="C22" s="312">
        <f>IF(C8&lt;&gt;0,C18/C8,0)</f>
        <v/>
      </c>
      <c r="D22" s="312">
        <f>IF(D8&lt;&gt;0,D18/D8,0)</f>
        <v/>
      </c>
      <c r="E22" s="312">
        <f>IF(E8&lt;&gt;0,E18/E8,0)</f>
        <v/>
      </c>
      <c r="F22" s="312">
        <f>IF(F8&lt;&gt;0,F18/F8,0)</f>
        <v/>
      </c>
      <c r="G22" s="312">
        <f>IF(G8&lt;&gt;0,G18/G8,0)</f>
        <v/>
      </c>
      <c r="H22" s="312">
        <f>IF(H8&lt;&gt;0,H18/H8,0)</f>
        <v/>
      </c>
      <c r="I22" s="312">
        <f>IF(I8&lt;&gt;0,I18/I8,0)</f>
        <v/>
      </c>
    </row>
    <row r="24">
      <c r="A24" s="251" t="inlineStr">
        <is>
          <t>Annual Totals (sum of quarters)</t>
        </is>
      </c>
      <c r="B24" s="313" t="n"/>
      <c r="C24" s="313" t="n"/>
      <c r="D24" s="313" t="n"/>
      <c r="E24" s="313" t="n"/>
      <c r="F24" s="313" t="n"/>
      <c r="G24" s="313" t="n"/>
      <c r="H24" s="313" t="n"/>
      <c r="I24" s="313" t="n"/>
    </row>
    <row r="25">
      <c r="A25" s="33" t="inlineStr">
        <is>
          <t>Year 1 Total Revenue ($M)</t>
        </is>
      </c>
      <c r="B25" s="311">
        <f>B8+C8+D8+E8</f>
        <v/>
      </c>
      <c r="C25" s="311" t="inlineStr"/>
      <c r="D25" s="311" t="inlineStr"/>
      <c r="E25" s="311" t="inlineStr"/>
      <c r="F25" s="311" t="inlineStr"/>
      <c r="G25" s="311" t="inlineStr"/>
      <c r="H25" s="311" t="inlineStr"/>
      <c r="I25" s="311" t="inlineStr"/>
    </row>
    <row r="26">
      <c r="A26" s="33" t="inlineStr">
        <is>
          <t>Year 2 Total Revenue ($M)</t>
        </is>
      </c>
      <c r="B26" s="311" t="inlineStr"/>
      <c r="C26" s="311" t="inlineStr"/>
      <c r="D26" s="311" t="inlineStr"/>
      <c r="E26" s="311" t="inlineStr"/>
      <c r="F26" s="311">
        <f>F8+G8+H8+I8</f>
        <v/>
      </c>
      <c r="G26" s="311" t="inlineStr"/>
      <c r="H26" s="311" t="inlineStr"/>
      <c r="I26" s="311" t="inlineStr"/>
    </row>
    <row r="27">
      <c r="A27" s="31" t="inlineStr">
        <is>
          <t>Year 1 Total FCF ($M)</t>
        </is>
      </c>
      <c r="B27" s="308">
        <f>B18+C18+D18+E18</f>
        <v/>
      </c>
      <c r="C27" s="308" t="inlineStr"/>
      <c r="D27" s="308" t="inlineStr"/>
      <c r="E27" s="308" t="inlineStr"/>
      <c r="F27" s="308" t="inlineStr"/>
      <c r="G27" s="308" t="inlineStr"/>
      <c r="H27" s="308" t="inlineStr"/>
      <c r="I27" s="308" t="inlineStr"/>
    </row>
    <row r="28">
      <c r="A28" s="31" t="inlineStr">
        <is>
          <t>Year 2 Total FCF ($M)</t>
        </is>
      </c>
      <c r="B28" s="308" t="inlineStr"/>
      <c r="C28" s="308" t="inlineStr"/>
      <c r="D28" s="308" t="inlineStr"/>
      <c r="E28" s="308" t="inlineStr"/>
      <c r="F28" s="308">
        <f>F18+G18+H18+I18</f>
        <v/>
      </c>
      <c r="G28" s="308" t="inlineStr"/>
      <c r="H28" s="308" t="inlineStr"/>
      <c r="I28" s="308" t="inlineStr"/>
    </row>
  </sheetData>
  <sheetProtection selectLockedCells="0" selectUnlockedCells="0" sheet="1" objects="0" insertRows="0" insertHyperlinks="1" autoFilter="1" scenarios="0" formatColumns="1" deleteColumns="1" insertColumns="1" pivotTables="1" deleteRows="0" formatCells="0" formatRows="1" sort="1"/>
  <mergeCells count="1">
    <mergeCell ref="A1:L1"/>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rowBreaks count="1" manualBreakCount="1">
    <brk id="17" min="0" max="16383" man="1"/>
  </rowBreaks>
</worksheet>
</file>

<file path=xl/worksheets/sheet49.xml><?xml version="1.0" encoding="utf-8"?>
<worksheet xmlns="http://schemas.openxmlformats.org/spreadsheetml/2006/main">
  <sheetPr>
    <tabColor rgb="000071E3"/>
    <outlinePr summaryBelow="1" summaryRight="1"/>
    <pageSetUpPr fitToPage="1"/>
  </sheetPr>
  <dimension ref="A1:S50"/>
  <sheetViews>
    <sheetView showGridLines="0" workbookViewId="0">
      <pane ySplit="4" topLeftCell="A5" activePane="bottomLeft" state="frozen"/>
      <selection pane="bottomLeft" activeCell="A1" sqref="A1"/>
    </sheetView>
  </sheetViews>
  <sheetFormatPr baseColWidth="8" defaultRowHeight="15"/>
  <cols>
    <col width="22" customWidth="1" min="1" max="1"/>
    <col width="16" customWidth="1" min="2" max="2"/>
    <col width="16" customWidth="1" min="3" max="3"/>
    <col width="16" customWidth="1" min="4" max="4"/>
    <col width="16" customWidth="1" min="5" max="5"/>
    <col width="16" customWidth="1" min="6" max="6"/>
    <col width="20" customWidth="1" min="7" max="7"/>
  </cols>
  <sheetData>
    <row r="1" ht="32" customHeight="1">
      <c r="A1" s="21" t="inlineStr">
        <is>
          <t xml:space="preserve">  Consensus Estimates    |    Forward Analyst Estimates | Earnings Surprise History | Price Target Distribution</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FORWARD ANALYST ESTIMATES  (sell-side consensus)</t>
        </is>
      </c>
    </row>
    <row r="6">
      <c r="A6" s="315" t="inlineStr">
        <is>
          <t>Fiscal Year</t>
        </is>
      </c>
      <c r="B6" s="315" t="inlineStr">
        <is>
          <t>Rev Low ($M)</t>
        </is>
      </c>
      <c r="C6" s="315" t="inlineStr">
        <is>
          <t>Rev Avg ($M)</t>
        </is>
      </c>
      <c r="D6" s="315" t="inlineStr">
        <is>
          <t>Rev High ($M)</t>
        </is>
      </c>
      <c r="E6" s="315" t="inlineStr">
        <is>
          <t>EPS Low</t>
        </is>
      </c>
      <c r="F6" s="315" t="inlineStr">
        <is>
          <t>EPS Avg</t>
        </is>
      </c>
      <c r="G6" s="315" t="inlineStr">
        <is>
          <t>EPS High</t>
        </is>
      </c>
    </row>
    <row r="7">
      <c r="A7" s="316" t="inlineStr">
        <is>
          <t xml:space="preserve">  Analyst estimates unavailable — check FMP API key or ticker</t>
        </is>
      </c>
    </row>
    <row r="8"/>
    <row r="9">
      <c r="A9" s="295" t="inlineStr">
        <is>
          <t xml:space="preserve">  Source: Financial Modeling Prep  |  Analysts covering: —  |  Data as of model run date</t>
        </is>
      </c>
    </row>
    <row r="10"/>
    <row r="11">
      <c r="A11" s="314" t="inlineStr">
        <is>
          <t xml:space="preserve">  2 — EARNINGS SURPRISE HISTORY  (actual vs consensus EPS, last 8 quarters)</t>
        </is>
      </c>
    </row>
    <row r="12">
      <c r="A12" s="23" t="inlineStr">
        <is>
          <t>Quarter</t>
        </is>
      </c>
      <c r="B12" s="23" t="inlineStr">
        <is>
          <t>Actual EPS</t>
        </is>
      </c>
      <c r="C12" s="23" t="inlineStr">
        <is>
          <t>Consensus EPS</t>
        </is>
      </c>
      <c r="D12" s="23" t="inlineStr">
        <is>
          <t>Surprise $</t>
        </is>
      </c>
      <c r="E12" s="23" t="inlineStr">
        <is>
          <t>Surprise %</t>
        </is>
      </c>
      <c r="F12" s="23" t="inlineStr">
        <is>
          <t>Beat / Miss</t>
        </is>
      </c>
    </row>
    <row r="13">
      <c r="A13" s="317" t="inlineStr">
        <is>
          <t xml:space="preserve">  Earnings surprise data unavailable for this ticker</t>
        </is>
      </c>
    </row>
    <row r="14"/>
    <row r="15"/>
    <row r="16">
      <c r="A16" s="314" t="inlineStr">
        <is>
          <t xml:space="preserve">  3 — ANALYST PRICE TARGET DISTRIBUTION</t>
        </is>
      </c>
    </row>
    <row r="17">
      <c r="A17" s="309" t="inlineStr">
        <is>
          <t>Consensus Price Target</t>
        </is>
      </c>
      <c r="B17" s="318" t="n"/>
    </row>
    <row r="18">
      <c r="A18" s="309" t="inlineStr">
        <is>
          <t>High Target</t>
        </is>
      </c>
      <c r="B18" s="318" t="n"/>
    </row>
    <row r="19">
      <c r="A19" s="309" t="inlineStr">
        <is>
          <t>Low Target</t>
        </is>
      </c>
      <c r="B19" s="318" t="n"/>
    </row>
    <row r="20">
      <c r="A20" s="309" t="inlineStr">
        <is>
          <t>Current Price</t>
        </is>
      </c>
      <c r="B20" s="319" t="n">
        <v>213</v>
      </c>
    </row>
    <row r="21">
      <c r="A21" s="309" t="inlineStr">
        <is>
          <t>Implied Upside (Consensus)</t>
        </is>
      </c>
      <c r="B21" s="320" t="n"/>
    </row>
    <row r="22">
      <c r="A22" s="309" t="inlineStr">
        <is>
          <t>Implied Upside (High)</t>
        </is>
      </c>
      <c r="B22" s="320" t="n"/>
    </row>
    <row r="23">
      <c r="A23" s="309" t="inlineStr">
        <is>
          <t># Analysts</t>
        </is>
      </c>
      <c r="B23" s="321" t="n"/>
    </row>
    <row r="24"/>
    <row r="25">
      <c r="A25" s="314" t="inlineStr">
        <is>
          <t xml:space="preserve">  4 — ANALYST RATING DISTRIBUTION</t>
        </is>
      </c>
    </row>
    <row r="26">
      <c r="A26" s="23" t="inlineStr">
        <is>
          <t>Rating</t>
        </is>
      </c>
      <c r="B26" s="23" t="inlineStr">
        <is>
          <t># Analysts</t>
        </is>
      </c>
      <c r="C26" s="23" t="inlineStr">
        <is>
          <t>% of Coverage</t>
        </is>
      </c>
      <c r="D26" s="23" t="inlineStr">
        <is>
          <t>Signal</t>
        </is>
      </c>
    </row>
    <row r="27">
      <c r="A27" s="322" t="inlineStr">
        <is>
          <t>Buy / Strong Buy</t>
        </is>
      </c>
      <c r="B27" s="323" t="n">
        <v>0</v>
      </c>
      <c r="C27" s="324" t="n">
        <v>0</v>
      </c>
      <c r="D27" s="323" t="inlineStr">
        <is>
          <t>NEUTRAL</t>
        </is>
      </c>
    </row>
    <row r="28">
      <c r="A28" s="325" t="inlineStr">
        <is>
          <t>Hold / Neutral</t>
        </is>
      </c>
      <c r="B28" s="326" t="n">
        <v>0</v>
      </c>
      <c r="C28" s="327" t="n">
        <v>0</v>
      </c>
      <c r="D28" s="326" t="inlineStr">
        <is>
          <t>NEUTRAL</t>
        </is>
      </c>
    </row>
    <row r="29">
      <c r="A29" s="328" t="inlineStr">
        <is>
          <t>Sell / Underperform</t>
        </is>
      </c>
      <c r="B29" s="329" t="n">
        <v>0</v>
      </c>
      <c r="C29" s="330" t="n">
        <v>0</v>
      </c>
      <c r="D29" s="329" t="inlineStr">
        <is>
          <t>NEUTRAL</t>
        </is>
      </c>
    </row>
    <row r="30"/>
    <row r="31"/>
    <row r="32"/>
    <row r="33"/>
    <row r="34"/>
    <row r="35"/>
    <row r="36"/>
    <row r="37"/>
    <row r="38"/>
    <row r="39"/>
    <row r="40"/>
    <row r="41"/>
    <row r="42"/>
    <row r="43"/>
    <row r="44"/>
    <row r="45"/>
    <row r="46"/>
    <row r="47"/>
    <row r="48"/>
    <row r="49"/>
    <row r="50"/>
  </sheetData>
  <sheetProtection selectLockedCells="0" selectUnlockedCells="0" sheet="1" objects="0" insertRows="0" insertHyperlinks="1" autoFilter="1" scenarios="0" formatColumns="1" deleteColumns="1" insertColumns="1" pivotTables="1" deleteRows="0" formatCells="0" formatRows="1" sort="1"/>
  <mergeCells count="8">
    <mergeCell ref="A9:G9"/>
    <mergeCell ref="A13:F13"/>
    <mergeCell ref="A1:L1"/>
    <mergeCell ref="A16:G16"/>
    <mergeCell ref="A7:G7"/>
    <mergeCell ref="A25:G25"/>
    <mergeCell ref="A11:G11"/>
    <mergeCell ref="A5:G5"/>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rowBreaks count="1" manualBreakCount="1">
    <brk id="25" min="0" max="16383" man="1"/>
  </rowBreaks>
</worksheet>
</file>

<file path=xl/worksheets/sheet50.xml><?xml version="1.0" encoding="utf-8"?>
<worksheet xmlns="http://schemas.openxmlformats.org/spreadsheetml/2006/main">
  <sheetPr>
    <tabColor rgb="000071E3"/>
    <outlinePr summaryBelow="1" summaryRight="1"/>
    <pageSetUpPr fitToPage="1"/>
  </sheetPr>
  <dimension ref="A1:S50"/>
  <sheetViews>
    <sheetView showGridLines="0" workbookViewId="0">
      <pane ySplit="4" topLeftCell="A5" activePane="bottomLeft" state="frozen"/>
      <selection pane="bottomLeft" activeCell="A1" sqref="A1"/>
    </sheetView>
  </sheetViews>
  <sheetFormatPr baseColWidth="8" defaultRowHeight="15"/>
  <cols>
    <col width="6" customWidth="1" min="1" max="1"/>
    <col width="50" customWidth="1" min="2" max="2"/>
    <col width="40" customWidth="1" min="3" max="3"/>
  </cols>
  <sheetData>
    <row r="1" ht="32" customHeight="1">
      <c r="A1" s="21" t="inlineStr">
        <is>
          <t xml:space="preserve">  VBA Macro Guide    |    How to Install Scenario Toggle Buttons | ScenarioMacros.bas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ht="18" customHeight="1">
      <c r="A5" s="315" t="inlineStr">
        <is>
          <t>STEP 1</t>
        </is>
      </c>
      <c r="B5" s="309" t="inlineStr">
        <is>
          <t>Open this workbook in Microsoft Excel (not Google Sheets or LibreOffice)</t>
        </is>
      </c>
      <c r="C5" s="331" t="inlineStr">
        <is>
          <t>Required: Excel 2016 or later on Windows/Mac</t>
        </is>
      </c>
    </row>
    <row r="6" ht="18" customHeight="1">
      <c r="A6" s="315" t="inlineStr">
        <is>
          <t>STEP 2</t>
        </is>
      </c>
      <c r="B6" s="309" t="inlineStr">
        <is>
          <t>Press  Alt + F11  to open the Visual Basic Editor</t>
        </is>
      </c>
      <c r="C6" s="331" t="inlineStr">
        <is>
          <t>Mac: Option + F11  or  Fn + Option + F11</t>
        </is>
      </c>
    </row>
    <row r="7" ht="18" customHeight="1">
      <c r="A7" s="315" t="inlineStr">
        <is>
          <t>STEP 3</t>
        </is>
      </c>
      <c r="B7" s="309" t="inlineStr">
        <is>
          <t>In the VBA Editor: click  File → Import File</t>
        </is>
      </c>
      <c r="C7" s="331" t="inlineStr">
        <is>
          <t>Navigate to ScenarioMacros.bas (in same folder as this workbook)</t>
        </is>
      </c>
    </row>
    <row r="8" ht="18" customHeight="1">
      <c r="A8" s="315" t="inlineStr">
        <is>
          <t>STEP 4</t>
        </is>
      </c>
      <c r="B8" s="309" t="inlineStr">
        <is>
          <t>Close the VBA Editor (Alt+F11 again or click X)</t>
        </is>
      </c>
      <c r="C8" s="331" t="inlineStr">
        <is>
          <t>Macros are now installed in the workbook</t>
        </is>
      </c>
    </row>
    <row r="9" ht="18" customHeight="1">
      <c r="A9" s="315" t="inlineStr">
        <is>
          <t>STEP 5</t>
        </is>
      </c>
      <c r="B9" s="309" t="inlineStr">
        <is>
          <t>Go to the Assumptions sheet</t>
        </is>
      </c>
      <c r="C9" s="331" t="inlineStr">
        <is>
          <t>You will see BEAR / BASE / BULL / RESET buttons at row 14</t>
        </is>
      </c>
    </row>
    <row r="10" ht="18" customHeight="1">
      <c r="A10" s="315" t="inlineStr">
        <is>
          <t>STEP 6</t>
        </is>
      </c>
      <c r="B10" s="309" t="inlineStr">
        <is>
          <t>Right-click each button → Assign Macro</t>
        </is>
      </c>
      <c r="C10" s="331" t="inlineStr">
        <is>
          <t>BEAR → SetBear   |   BASE → SetBase   |   BULL → SetBull   |   RESET → ResetToDefaults</t>
        </is>
      </c>
    </row>
    <row r="11" ht="18" customHeight="1">
      <c r="A11" s="315" t="inlineStr">
        <is>
          <t>STEP 7</t>
        </is>
      </c>
      <c r="B11" s="309" t="inlineStr">
        <is>
          <t>Save the workbook as  .xlsm  (macro-enabled workbook)</t>
        </is>
      </c>
      <c r="C11" s="331" t="inlineStr">
        <is>
          <t>File → Save As → Excel Macro-Enabled Workbook (*.xlsm)</t>
        </is>
      </c>
    </row>
    <row r="12" ht="18" customHeight="1">
      <c r="A12" s="305" t="inlineStr">
        <is>
          <t>DONE</t>
        </is>
      </c>
      <c r="B12" s="332" t="inlineStr">
        <is>
          <t>Click any scenario button to switch Bear/Base/Bull instantly</t>
        </is>
      </c>
      <c r="C12" s="333" t="inlineStr">
        <is>
          <t>The DCF Scenarios, Sensitivity and Quarterly Model sheets recalculate automatically</t>
        </is>
      </c>
    </row>
    <row r="13"/>
    <row r="14"/>
    <row r="15">
      <c r="A15" s="251" t="inlineStr">
        <is>
          <t xml:space="preserve">  MACRO REFERENCE — Available Sub procedures in ScenarioMacros.bas</t>
        </is>
      </c>
    </row>
    <row r="16">
      <c r="A16" s="23" t="inlineStr">
        <is>
          <t>Sub Name</t>
        </is>
      </c>
      <c r="B16" s="23" t="inlineStr">
        <is>
          <t>Description</t>
        </is>
      </c>
      <c r="C16" s="23" t="inlineStr">
        <is>
          <t>Notes</t>
        </is>
      </c>
    </row>
    <row r="17">
      <c r="A17" s="334" t="inlineStr">
        <is>
          <t>SetBear()</t>
        </is>
      </c>
      <c r="B17" s="309" t="inlineStr">
        <is>
          <t>Sets Assumptions!B16 = 'Bear'  |  Unprotects → sets → reprotects → recalculates</t>
        </is>
      </c>
      <c r="C17" s="218" t="n"/>
    </row>
    <row r="18">
      <c r="A18" s="334" t="inlineStr">
        <is>
          <t>SetBase()</t>
        </is>
      </c>
      <c r="B18" s="309" t="inlineStr">
        <is>
          <t>Sets Assumptions!B16 = 'Base'  |  Default scenario</t>
        </is>
      </c>
      <c r="C18" s="218" t="n"/>
    </row>
    <row r="19">
      <c r="A19" s="334" t="inlineStr">
        <is>
          <t>SetBull()</t>
        </is>
      </c>
      <c r="B19" s="309" t="inlineStr">
        <is>
          <t>Sets Assumptions!B16 = 'Bull'  |  Optimistic scenario</t>
        </is>
      </c>
      <c r="C19" s="218" t="n"/>
    </row>
    <row r="20">
      <c r="A20" s="334" t="inlineStr">
        <is>
          <t>ResetToDefaults()</t>
        </is>
      </c>
      <c r="B20" s="309" t="inlineStr">
        <is>
          <t>Resets all 16 assumption cells to model defaults with confirmation dialog</t>
        </is>
      </c>
      <c r="C20" s="218" t="n"/>
    </row>
    <row r="21">
      <c r="A21" s="334" t="inlineStr">
        <is>
          <t>ShowScenarioSummary()</t>
        </is>
      </c>
      <c r="B21" s="309" t="inlineStr">
        <is>
          <t>Popup showing current scenario, WACC and TGR settings</t>
        </is>
      </c>
      <c r="C21" s="218" t="n"/>
    </row>
    <row r="22"/>
    <row r="23"/>
    <row r="24"/>
    <row r="25"/>
    <row r="26"/>
    <row r="27"/>
    <row r="28"/>
    <row r="29"/>
    <row r="30"/>
    <row r="31"/>
    <row r="32"/>
    <row r="33"/>
    <row r="34"/>
    <row r="35"/>
    <row r="36"/>
    <row r="37"/>
    <row r="38"/>
    <row r="39"/>
    <row r="40"/>
    <row r="41"/>
    <row r="42"/>
    <row r="43"/>
    <row r="44"/>
    <row r="45"/>
    <row r="46"/>
    <row r="47"/>
    <row r="48"/>
    <row r="49"/>
    <row r="50"/>
  </sheetData>
  <mergeCells count="7">
    <mergeCell ref="B21:C21"/>
    <mergeCell ref="B19:C19"/>
    <mergeCell ref="B20:C20"/>
    <mergeCell ref="A1:L1"/>
    <mergeCell ref="B17:C17"/>
    <mergeCell ref="A15:C15"/>
    <mergeCell ref="B18:C18"/>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51.xml><?xml version="1.0" encoding="utf-8"?>
<worksheet xmlns="http://schemas.openxmlformats.org/spreadsheetml/2006/main">
  <sheetPr>
    <tabColor rgb="000071E3"/>
    <outlinePr summaryBelow="1" summaryRight="1"/>
    <pageSetUpPr fitToPage="1"/>
  </sheetPr>
  <dimension ref="A1:S3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8" customWidth="1" min="7" max="7"/>
    <col width="18" customWidth="1" min="8" max="8"/>
  </cols>
  <sheetData>
    <row r="1" ht="32" customHeight="1">
      <c r="A1" s="21" t="inlineStr">
        <is>
          <t xml:space="preserve">  Segment Revenue Build    |    Bottom-Up Revenue Model | Price × Volume Drivers | Geo Split | Margin by Segment</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SEGMENT REVENUE MODEL  (price × volume, $M unless noted)</t>
        </is>
      </c>
    </row>
    <row r="6">
      <c r="A6" s="63" t="inlineStr">
        <is>
          <t>Driver / Segment</t>
        </is>
      </c>
      <c r="B6" s="315" t="inlineStr">
        <is>
          <t>LTM</t>
        </is>
      </c>
      <c r="C6" s="315" t="inlineStr">
        <is>
          <t>Y1E</t>
        </is>
      </c>
      <c r="D6" s="315" t="inlineStr">
        <is>
          <t>Y2E</t>
        </is>
      </c>
      <c r="E6" s="315" t="inlineStr">
        <is>
          <t>Y3E</t>
        </is>
      </c>
      <c r="F6" s="315" t="inlineStr">
        <is>
          <t>CAGR</t>
        </is>
      </c>
      <c r="G6" s="315" t="inlineStr">
        <is>
          <t>Notes</t>
        </is>
      </c>
    </row>
    <row r="7">
      <c r="A7" s="335" t="inlineStr">
        <is>
          <t>iPhone</t>
        </is>
      </c>
      <c r="B7" s="336">
        <f>'Assumptions'!$B$28*0.5144884728988454</f>
        <v/>
      </c>
      <c r="C7" s="337">
        <f>'Assumptions'!$B$28*0.5144884728988454*(1+'Assumptions'!$B$7*0.08)</f>
        <v/>
      </c>
      <c r="D7" s="337">
        <f>C7*(1+'Assumptions'!$B$8*0.08)</f>
        <v/>
      </c>
      <c r="E7" s="337">
        <f>D7*(1+'Assumptions'!$B$8*0.08*0.9)</f>
        <v/>
      </c>
      <c r="F7" s="338">
        <f>IFERROR((E7/C7)^(1/2)-1,0)</f>
        <v/>
      </c>
      <c r="G7" s="339" t="inlineStr">
        <is>
          <t>48% EBIT</t>
        </is>
      </c>
    </row>
    <row r="8">
      <c r="A8" s="335" t="inlineStr">
        <is>
          <t>Services</t>
        </is>
      </c>
      <c r="B8" s="336">
        <f>'Assumptions'!$B$28*0.2459345071413045</f>
        <v/>
      </c>
      <c r="C8" s="337">
        <f>'Assumptions'!$B$28*0.2459345071413045*(1+'Assumptions'!$B$7*1.7333333333333334)</f>
        <v/>
      </c>
      <c r="D8" s="337">
        <f>C8*(1+'Assumptions'!$B$8*1.7333333333333334)</f>
        <v/>
      </c>
      <c r="E8" s="337">
        <f>D8*(1+'Assumptions'!$B$8*1.7333333333333334*0.9)</f>
        <v/>
      </c>
      <c r="F8" s="338">
        <f>IFERROR((E8/C8)^(1/2)-1,0)</f>
        <v/>
      </c>
      <c r="G8" s="339" t="inlineStr">
        <is>
          <t>74% EBIT</t>
        </is>
      </c>
    </row>
    <row r="9">
      <c r="A9" s="335" t="inlineStr">
        <is>
          <t>Mac</t>
        </is>
      </c>
      <c r="B9" s="336">
        <f>'Assumptions'!$B$28*0.07667855818532868</f>
        <v/>
      </c>
      <c r="C9" s="337">
        <f>'Assumptions'!$B$28*0.07667855818532868*(1+'Assumptions'!$B$7*0.32)</f>
        <v/>
      </c>
      <c r="D9" s="337">
        <f>C9*(1+'Assumptions'!$B$8*0.32)</f>
        <v/>
      </c>
      <c r="E9" s="337">
        <f>D9*(1+'Assumptions'!$B$8*0.32*0.9)</f>
        <v/>
      </c>
      <c r="F9" s="338">
        <f>IFERROR((E9/C9)^(1/2)-1,0)</f>
        <v/>
      </c>
      <c r="G9" s="339" t="inlineStr">
        <is>
          <t>35% EBIT</t>
        </is>
      </c>
    </row>
    <row r="10">
      <c r="A10" s="335" t="inlineStr">
        <is>
          <t>iPad</t>
        </is>
      </c>
      <c r="B10" s="336">
        <f>'Assumptions'!$B$28*0.06826498906747477</f>
        <v/>
      </c>
      <c r="C10" s="337">
        <f>'Assumptions'!$B$28*0.06826498906747477*(1+'Assumptions'!$B$7*-0.6933333333333334)</f>
        <v/>
      </c>
      <c r="D10" s="337">
        <f>C10*(1+'Assumptions'!$B$8*-0.6933333333333334)</f>
        <v/>
      </c>
      <c r="E10" s="337">
        <f>D10*(1+'Assumptions'!$B$8*-0.6933333333333334*0.9)</f>
        <v/>
      </c>
      <c r="F10" s="338">
        <f>IFERROR((E10/C10)^(1/2)-1,0)</f>
        <v/>
      </c>
      <c r="G10" s="339" t="inlineStr">
        <is>
          <t>33% EBIT</t>
        </is>
      </c>
    </row>
    <row r="11">
      <c r="A11" s="335" t="inlineStr">
        <is>
          <t>Wearables</t>
        </is>
      </c>
      <c r="B11" s="336">
        <f>'Assumptions'!$B$28*0.09463347270704668</f>
        <v/>
      </c>
      <c r="C11" s="337">
        <f>'Assumptions'!$B$28*0.09463347270704668*(1+'Assumptions'!$B$7*-1.0266666666666666)</f>
        <v/>
      </c>
      <c r="D11" s="337">
        <f>C11*(1+'Assumptions'!$B$8*-1.0266666666666666)</f>
        <v/>
      </c>
      <c r="E11" s="337">
        <f>D11*(1+'Assumptions'!$B$8*-1.0266666666666666*0.9)</f>
        <v/>
      </c>
      <c r="F11" s="338">
        <f>IFERROR((E11/C11)^(1/2)-1,0)</f>
        <v/>
      </c>
      <c r="G11" s="339" t="inlineStr">
        <is>
          <t>36% EBIT</t>
        </is>
      </c>
    </row>
    <row r="12">
      <c r="A12" s="340" t="inlineStr">
        <is>
          <t>Total Revenue ($M)</t>
        </is>
      </c>
      <c r="B12" s="341">
        <f>SUM(B7:B11)</f>
        <v/>
      </c>
      <c r="C12" s="341">
        <f>SUM(C7:C11)</f>
        <v/>
      </c>
      <c r="D12" s="341">
        <f>SUM(D7:D11)</f>
        <v/>
      </c>
      <c r="E12" s="341">
        <f>SUM(E7:E11)</f>
        <v/>
      </c>
      <c r="F12" s="342">
        <f>IFERROR((E11/C7)^(1/2)-1,0)</f>
        <v/>
      </c>
      <c r="G12" s="343" t="inlineStr"/>
    </row>
    <row r="14">
      <c r="A14" s="314" t="inlineStr">
        <is>
          <t xml:space="preserve">  2 — PRICE × VOLUME DECOMPOSITION  (growth attribution)</t>
        </is>
      </c>
    </row>
    <row r="15">
      <c r="A15" s="63" t="inlineStr">
        <is>
          <t>Driver / Segment</t>
        </is>
      </c>
      <c r="B15" s="315" t="inlineStr">
        <is>
          <t>LTM</t>
        </is>
      </c>
      <c r="C15" s="315" t="inlineStr">
        <is>
          <t>Y1E</t>
        </is>
      </c>
      <c r="D15" s="315" t="inlineStr">
        <is>
          <t>Y2E</t>
        </is>
      </c>
      <c r="E15" s="315" t="inlineStr">
        <is>
          <t>Y3E</t>
        </is>
      </c>
      <c r="F15" s="315" t="inlineStr">
        <is>
          <t>CAGR</t>
        </is>
      </c>
      <c r="G15" s="315" t="inlineStr">
        <is>
          <t>Notes</t>
        </is>
      </c>
    </row>
    <row r="16">
      <c r="A16" s="335" t="inlineStr">
        <is>
          <t>Volume / Units Growth</t>
        </is>
      </c>
      <c r="B16" s="339" t="inlineStr">
        <is>
          <t>—</t>
        </is>
      </c>
      <c r="C16" s="338">
        <f>'Assumptions'!$B$7*0.6</f>
        <v/>
      </c>
      <c r="D16" s="338">
        <f>'Assumptions'!$B$8*0.6</f>
        <v/>
      </c>
      <c r="E16" s="338">
        <f>'Assumptions'!$B$8*0.55</f>
        <v/>
      </c>
      <c r="F16" s="339" t="inlineStr">
        <is>
          <t>—</t>
        </is>
      </c>
      <c r="G16" s="335" t="inlineStr">
        <is>
          <t>Volume drives ~60% of growth</t>
        </is>
      </c>
    </row>
    <row r="17">
      <c r="A17" s="335" t="inlineStr">
        <is>
          <t>Price / Mix Improvement</t>
        </is>
      </c>
      <c r="B17" s="339" t="inlineStr">
        <is>
          <t>—</t>
        </is>
      </c>
      <c r="C17" s="338">
        <f>'Assumptions'!$B$7*0.4</f>
        <v/>
      </c>
      <c r="D17" s="338">
        <f>'Assumptions'!$B$8*0.4</f>
        <v/>
      </c>
      <c r="E17" s="338">
        <f>'Assumptions'!$B$8*0.45</f>
        <v/>
      </c>
      <c r="F17" s="339" t="inlineStr">
        <is>
          <t>—</t>
        </is>
      </c>
      <c r="G17" s="335" t="inlineStr">
        <is>
          <t>Pricing power + mix shift to higher-margin segments</t>
        </is>
      </c>
    </row>
    <row r="18">
      <c r="A18" s="335" t="inlineStr">
        <is>
          <t>FX Headwind / Tailwind</t>
        </is>
      </c>
      <c r="B18" s="339" t="inlineStr">
        <is>
          <t>—</t>
        </is>
      </c>
      <c r="C18" s="338" t="inlineStr">
        <is>
          <t>0.00</t>
        </is>
      </c>
      <c r="D18" s="338" t="inlineStr">
        <is>
          <t>0.00</t>
        </is>
      </c>
      <c r="E18" s="338" t="inlineStr">
        <is>
          <t>0.00</t>
        </is>
      </c>
      <c r="F18" s="339" t="inlineStr">
        <is>
          <t>—</t>
        </is>
      </c>
      <c r="G18" s="335" t="inlineStr">
        <is>
          <t>Edit: +ve = tailwind, -ve = headwind</t>
        </is>
      </c>
    </row>
    <row r="19">
      <c r="A19" s="340" t="inlineStr">
        <is>
          <t>Total Revenue Growth</t>
        </is>
      </c>
      <c r="B19" s="343" t="inlineStr">
        <is>
          <t>—</t>
        </is>
      </c>
      <c r="C19" s="342">
        <f>'Assumptions'!$B$7</f>
        <v/>
      </c>
      <c r="D19" s="342">
        <f>'Assumptions'!$B$8</f>
        <v/>
      </c>
      <c r="E19" s="342">
        <f>'Assumptions'!$B$8*0.9</f>
        <v/>
      </c>
      <c r="F19" s="343" t="inlineStr">
        <is>
          <t>—</t>
        </is>
      </c>
      <c r="G19" s="340">
        <f>Assumptions!g1/g2 (formula-linked)</f>
        <v/>
      </c>
    </row>
    <row r="21">
      <c r="A21" s="314" t="inlineStr">
        <is>
          <t xml:space="preserve">  3 — GEOGRAPHIC REVENUE SPLIT  ($M)</t>
        </is>
      </c>
    </row>
    <row r="22">
      <c r="A22" s="63" t="inlineStr">
        <is>
          <t>Driver / Segment</t>
        </is>
      </c>
      <c r="B22" s="315" t="inlineStr">
        <is>
          <t>LTM</t>
        </is>
      </c>
      <c r="C22" s="315" t="inlineStr">
        <is>
          <t>Y1E</t>
        </is>
      </c>
      <c r="D22" s="315" t="inlineStr">
        <is>
          <t>Y2E</t>
        </is>
      </c>
      <c r="E22" s="315" t="inlineStr">
        <is>
          <t>Y3E</t>
        </is>
      </c>
      <c r="F22" s="315" t="inlineStr">
        <is>
          <t>CAGR</t>
        </is>
      </c>
      <c r="G22" s="315" t="inlineStr">
        <is>
          <t>Notes</t>
        </is>
      </c>
    </row>
    <row r="23">
      <c r="A23" s="335" t="inlineStr">
        <is>
          <t>Americas</t>
        </is>
      </c>
      <c r="B23" s="336">
        <f>B12*0.55</f>
        <v/>
      </c>
      <c r="C23" s="336">
        <f>C12*0.55*1.0</f>
        <v/>
      </c>
      <c r="D23" s="336">
        <f>D12*0.55*1.0</f>
        <v/>
      </c>
      <c r="E23" s="336">
        <f>E12*0.55*1.0</f>
        <v/>
      </c>
      <c r="F23" s="344">
        <f>55%</f>
        <v/>
      </c>
      <c r="G23" s="339" t="inlineStr">
        <is>
          <t>×1.0 growth mult vs consolidated</t>
        </is>
      </c>
    </row>
    <row r="24">
      <c r="A24" s="335" t="inlineStr">
        <is>
          <t>EMEA</t>
        </is>
      </c>
      <c r="B24" s="336">
        <f>B12*0.25</f>
        <v/>
      </c>
      <c r="C24" s="336">
        <f>C12*0.25*0.9</f>
        <v/>
      </c>
      <c r="D24" s="336">
        <f>D12*0.25*0.9</f>
        <v/>
      </c>
      <c r="E24" s="336">
        <f>E12*0.25*0.9</f>
        <v/>
      </c>
      <c r="F24" s="344">
        <f>25%</f>
        <v/>
      </c>
      <c r="G24" s="339" t="inlineStr">
        <is>
          <t>×0.9 growth mult vs consolidated</t>
        </is>
      </c>
    </row>
    <row r="25">
      <c r="A25" s="335" t="inlineStr">
        <is>
          <t>APAC</t>
        </is>
      </c>
      <c r="B25" s="336">
        <f>B12*0.2</f>
        <v/>
      </c>
      <c r="C25" s="336">
        <f>C12*0.2*1.1</f>
        <v/>
      </c>
      <c r="D25" s="336">
        <f>D12*0.2*1.1</f>
        <v/>
      </c>
      <c r="E25" s="336">
        <f>E12*0.2*1.1</f>
        <v/>
      </c>
      <c r="F25" s="344">
        <f>20%</f>
        <v/>
      </c>
      <c r="G25" s="339" t="inlineStr">
        <is>
          <t>×1.1 growth mult vs consolidated</t>
        </is>
      </c>
    </row>
    <row r="27">
      <c r="A27" s="314" t="inlineStr">
        <is>
          <t xml:space="preserve">  4 — EBIT CONTRIBUTION BY SEGMENT  ($M)</t>
        </is>
      </c>
    </row>
    <row r="28">
      <c r="A28" s="23" t="inlineStr">
        <is>
          <t>Segment</t>
        </is>
      </c>
      <c r="B28" s="23" t="inlineStr">
        <is>
          <t>EBIT Margin</t>
        </is>
      </c>
      <c r="C28" s="23" t="inlineStr">
        <is>
          <t>LTM EBIT ($M)</t>
        </is>
      </c>
      <c r="D28" s="23" t="inlineStr">
        <is>
          <t>Y1E EBIT ($M)</t>
        </is>
      </c>
      <c r="E28" s="23" t="inlineStr">
        <is>
          <t>Y2E EBIT ($M)</t>
        </is>
      </c>
      <c r="F28" s="23" t="inlineStr">
        <is>
          <t>Contribution %</t>
        </is>
      </c>
      <c r="G28" s="23" t="inlineStr">
        <is>
          <t>vs Consolidated</t>
        </is>
      </c>
    </row>
    <row r="29">
      <c r="A29" s="335" t="inlineStr">
        <is>
          <t>iPhone</t>
        </is>
      </c>
      <c r="B29" s="344" t="n">
        <v>0.48</v>
      </c>
      <c r="C29" s="336">
        <f>B7*0.48</f>
        <v/>
      </c>
      <c r="D29" s="336">
        <f>C7*0.48</f>
        <v/>
      </c>
      <c r="E29" s="336">
        <f>D7*0.48</f>
        <v/>
      </c>
      <c r="F29" s="344" t="n"/>
      <c r="G29" s="344">
        <f>'Assumptions'!$B$9</f>
        <v/>
      </c>
    </row>
    <row r="30">
      <c r="A30" s="335" t="inlineStr">
        <is>
          <t>Services</t>
        </is>
      </c>
      <c r="B30" s="344" t="n">
        <v>0.74</v>
      </c>
      <c r="C30" s="336">
        <f>B8*0.74</f>
        <v/>
      </c>
      <c r="D30" s="336">
        <f>C8*0.74</f>
        <v/>
      </c>
      <c r="E30" s="336">
        <f>D8*0.74</f>
        <v/>
      </c>
      <c r="F30" s="344" t="n"/>
      <c r="G30" s="344">
        <f>'Assumptions'!$B$9</f>
        <v/>
      </c>
    </row>
    <row r="31">
      <c r="A31" s="335" t="inlineStr">
        <is>
          <t>Mac</t>
        </is>
      </c>
      <c r="B31" s="344" t="n">
        <v>0.35</v>
      </c>
      <c r="C31" s="336">
        <f>B9*0.35</f>
        <v/>
      </c>
      <c r="D31" s="336">
        <f>C9*0.35</f>
        <v/>
      </c>
      <c r="E31" s="336">
        <f>D9*0.35</f>
        <v/>
      </c>
      <c r="F31" s="344" t="n"/>
      <c r="G31" s="344">
        <f>'Assumptions'!$B$9</f>
        <v/>
      </c>
    </row>
    <row r="32">
      <c r="A32" s="335" t="inlineStr">
        <is>
          <t>iPad</t>
        </is>
      </c>
      <c r="B32" s="344" t="n">
        <v>0.33</v>
      </c>
      <c r="C32" s="336">
        <f>B10*0.33</f>
        <v/>
      </c>
      <c r="D32" s="336">
        <f>C10*0.33</f>
        <v/>
      </c>
      <c r="E32" s="336">
        <f>D10*0.33</f>
        <v/>
      </c>
      <c r="F32" s="344" t="n"/>
      <c r="G32" s="344">
        <f>'Assumptions'!$B$9</f>
        <v/>
      </c>
    </row>
    <row r="33">
      <c r="A33" s="335" t="inlineStr">
        <is>
          <t>Wearables</t>
        </is>
      </c>
      <c r="B33" s="344" t="n">
        <v>0.36</v>
      </c>
      <c r="C33" s="336">
        <f>B11*0.36</f>
        <v/>
      </c>
      <c r="D33" s="336">
        <f>C11*0.36</f>
        <v/>
      </c>
      <c r="E33" s="336">
        <f>D11*0.36</f>
        <v/>
      </c>
      <c r="F33" s="344" t="n"/>
      <c r="G33" s="344">
        <f>'Assumptions'!$B$9</f>
        <v/>
      </c>
    </row>
    <row r="34">
      <c r="A34" s="340" t="inlineStr">
        <is>
          <t>Consolidated EBIT ($M)</t>
        </is>
      </c>
      <c r="B34" s="345" t="inlineStr">
        <is>
          <t>'Assumptions'!$B$9</t>
        </is>
      </c>
      <c r="C34" s="341">
        <f>SUM(C29:C33)</f>
        <v/>
      </c>
      <c r="D34" s="341">
        <f>SUM(D29:D33)</f>
        <v/>
      </c>
      <c r="E34" s="341">
        <f>SUM(E29:E33)</f>
        <v/>
      </c>
      <c r="F34" s="345" t="inlineStr">
        <is>
          <t>100%</t>
        </is>
      </c>
      <c r="G34" s="345">
        <f>'Assumptions'!$B$9</f>
        <v/>
      </c>
    </row>
    <row r="36" ht="40" customHeight="1">
      <c r="A36" s="346" t="inlineStr">
        <is>
          <t xml:space="preserve">  Reconciliation: Segment revenues sum to consolidated total (Assumptions!B28). Segment margins are user-adjustable — change yellow cells in Assumptions to reflect updated mix. All forward projections (Y1E–Y3E) link to Assumptions!B7/B8 growth rates via formula. Geographic split multipliers reflect relative growth rate differentials.</t>
        </is>
      </c>
    </row>
    <row r="37"/>
  </sheetData>
  <sheetProtection selectLockedCells="0" selectUnlockedCells="0" sheet="1" objects="0" insertRows="0" insertHyperlinks="1" autoFilter="1" scenarios="0" formatColumns="1" deleteColumns="1" insertColumns="1" pivotTables="1" deleteRows="0" formatCells="0" formatRows="1" sort="1"/>
  <mergeCells count="6">
    <mergeCell ref="A21:H21"/>
    <mergeCell ref="A1:L1"/>
    <mergeCell ref="A36:H37"/>
    <mergeCell ref="A14:H14"/>
    <mergeCell ref="A5:H5"/>
    <mergeCell ref="A27:H27"/>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rowBreaks count="1" manualBreakCount="1">
    <brk id="17" min="0" max="16383" man="1"/>
  </rowBreaks>
</worksheet>
</file>

<file path=xl/worksheets/sheet52.xml><?xml version="1.0" encoding="utf-8"?>
<worksheet xmlns="http://schemas.openxmlformats.org/spreadsheetml/2006/main">
  <sheetPr>
    <tabColor rgb="000071E3"/>
    <outlinePr summaryBelow="1" summaryRight="1"/>
    <pageSetUpPr fitToPage="1"/>
  </sheetPr>
  <dimension ref="A1:S50"/>
  <sheetViews>
    <sheetView workbookViewId="0">
      <selection activeCell="A1" sqref="A1"/>
    </sheetView>
  </sheetViews>
  <sheetFormatPr baseColWidth="8" defaultRowHeight="15"/>
  <cols>
    <col width="28" customWidth="1" min="1" max="1"/>
    <col width="16" customWidth="1" min="2" max="2"/>
    <col width="16" customWidth="1" min="3" max="3"/>
    <col width="16" customWidth="1" min="4" max="4"/>
    <col width="12" customWidth="1" min="5" max="5"/>
    <col width="40" customWidth="1" min="6" max="6"/>
  </cols>
  <sheetData>
    <row r="1" ht="32" customHeight="1">
      <c r="A1" s="21" t="inlineStr">
        <is>
          <t xml:space="preserve">  Model Assumption Drift Monitor    |    Real-Time Calibration Check  |  6 Dimensions  |  Automated Staleness Detection</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47" t="inlineStr">
        <is>
          <t xml:space="preserve">  MODEL STATUS: MODEL CURRENT   [0 HIGH  |  1 MEDIUM  |  4 OK]</t>
        </is>
      </c>
    </row>
    <row r="6"/>
    <row r="7">
      <c r="A7" s="314" t="inlineStr">
        <is>
          <t xml:space="preserve">  1 — ASSUMPTION DRIFT ALERTS  (Live vs Model)</t>
        </is>
      </c>
    </row>
    <row r="8">
      <c r="A8" s="23" t="inlineStr">
        <is>
          <t>Dimension</t>
        </is>
      </c>
      <c r="B8" s="23" t="inlineStr">
        <is>
          <t>Model Value</t>
        </is>
      </c>
      <c r="C8" s="23" t="inlineStr">
        <is>
          <t>Market Signal</t>
        </is>
      </c>
      <c r="D8" s="23" t="inlineStr">
        <is>
          <t>Delta</t>
        </is>
      </c>
      <c r="E8" s="23" t="inlineStr">
        <is>
          <t>Severity</t>
        </is>
      </c>
      <c r="F8" s="23" t="inlineStr">
        <is>
          <t>Recommended Action</t>
        </is>
      </c>
    </row>
    <row r="9" ht="28" customHeight="1">
      <c r="A9" s="348" t="inlineStr">
        <is>
          <t>WACC</t>
        </is>
      </c>
      <c r="B9" s="349" t="inlineStr">
        <is>
          <t>8.20%</t>
        </is>
      </c>
      <c r="C9" s="348" t="inlineStr">
        <is>
          <t>9.87%</t>
        </is>
      </c>
      <c r="D9" s="350" t="inlineStr">
        <is>
          <t>-1.67%</t>
        </is>
      </c>
      <c r="E9" s="350" t="inlineStr">
        <is>
          <t>⚠ DRIFT MEDIUM</t>
        </is>
      </c>
      <c r="F9" s="351" t="inlineStr">
        <is>
          <t>Recalibrate WACC toward 9.87% (current rf=4.50%, beta=1.2)</t>
        </is>
      </c>
    </row>
    <row r="10" ht="28" customHeight="1">
      <c r="A10" s="348" t="inlineStr">
        <is>
          <t>Revenue Growth</t>
        </is>
      </c>
      <c r="B10" s="349" t="inlineStr">
        <is>
          <t>7.5%</t>
        </is>
      </c>
      <c r="C10" s="348" t="inlineStr">
        <is>
          <t>4.6%</t>
        </is>
      </c>
      <c r="D10" s="352" t="inlineStr">
        <is>
          <t>+2.9%</t>
        </is>
      </c>
      <c r="E10" s="352" t="inlineStr">
        <is>
          <t>✓ OK OK</t>
        </is>
      </c>
      <c r="F10" s="351" t="inlineStr">
        <is>
          <t>Growth assumption consistent with market pricing</t>
        </is>
      </c>
    </row>
    <row r="11" ht="28" customHeight="1">
      <c r="A11" s="348" t="inlineStr">
        <is>
          <t>EV/Revenue Multiple</t>
        </is>
      </c>
      <c r="B11" s="349" t="inlineStr">
        <is>
          <t>8.2x</t>
        </is>
      </c>
      <c r="C11" s="348" t="inlineStr">
        <is>
          <t>6.0x (sector)</t>
        </is>
      </c>
      <c r="D11" s="352" t="inlineStr">
        <is>
          <t>+37%</t>
        </is>
      </c>
      <c r="E11" s="352" t="inlineStr">
        <is>
          <t>✓ OK OK</t>
        </is>
      </c>
      <c r="F11" s="351" t="inlineStr">
        <is>
          <t>Multiple is in line with sector</t>
        </is>
      </c>
    </row>
    <row r="12" ht="28" customHeight="1">
      <c r="A12" s="348" t="inlineStr">
        <is>
          <t>Short Interest</t>
        </is>
      </c>
      <c r="B12" s="349" t="inlineStr">
        <is>
          <t>N/A</t>
        </is>
      </c>
      <c r="C12" s="348" t="inlineStr">
        <is>
          <t>&lt; 10%</t>
        </is>
      </c>
      <c r="D12" s="352" t="inlineStr">
        <is>
          <t>N/A</t>
        </is>
      </c>
      <c r="E12" s="352" t="inlineStr">
        <is>
          <t>✓ OK OK</t>
        </is>
      </c>
      <c r="F12" s="351" t="inlineStr">
        <is>
          <t>Short interest within normal range</t>
        </is>
      </c>
    </row>
    <row r="13" ht="28" customHeight="1">
      <c r="A13" s="348" t="inlineStr">
        <is>
          <t>Beta Calibration</t>
        </is>
      </c>
      <c r="B13" s="349" t="inlineStr">
        <is>
          <t>1.24</t>
        </is>
      </c>
      <c r="C13" s="348" t="inlineStr">
        <is>
          <t>Market consistent</t>
        </is>
      </c>
      <c r="D13" s="352" t="inlineStr">
        <is>
          <t>—</t>
        </is>
      </c>
      <c r="E13" s="352" t="inlineStr">
        <is>
          <t>✓ OK OK</t>
        </is>
      </c>
      <c r="F13" s="351" t="inlineStr">
        <is>
          <t>Beta appears reasonable for this growth profile</t>
        </is>
      </c>
    </row>
    <row r="14"/>
    <row r="15">
      <c r="A15" s="353" t="inlineStr">
        <is>
          <t xml:space="preserve">  2 — MARKET CONDITIONS SNAPSHOT  (What the Model Is Compared Against)</t>
        </is>
      </c>
    </row>
    <row r="16">
      <c r="A16" s="354" t="inlineStr">
        <is>
          <t xml:space="preserve">  Risk-free rate (10Y UST)</t>
        </is>
      </c>
      <c r="B16" s="355" t="inlineStr">
        <is>
          <t>4.50%</t>
        </is>
      </c>
      <c r="C16" s="356" t="inlineStr">
        <is>
          <t>Used for WACC calibration check</t>
        </is>
      </c>
    </row>
    <row r="17">
      <c r="A17" s="354" t="inlineStr">
        <is>
          <t xml:space="preserve">  Equity risk premium</t>
        </is>
      </c>
      <c r="B17" s="355" t="inlineStr">
        <is>
          <t>5.50%</t>
        </is>
      </c>
      <c r="C17" s="356" t="inlineStr">
        <is>
          <t>Damodaran implied ERP (approximate)</t>
        </is>
      </c>
    </row>
    <row r="18">
      <c r="A18" s="354" t="inlineStr">
        <is>
          <t xml:space="preserve">  Investment grade spread</t>
        </is>
      </c>
      <c r="B18" s="355" t="inlineStr">
        <is>
          <t>~1.5%</t>
        </is>
      </c>
      <c r="C18" s="356" t="inlineStr">
        <is>
          <t>IG credit spread proxy</t>
        </is>
      </c>
    </row>
    <row r="19">
      <c r="A19" s="354" t="inlineStr">
        <is>
          <t xml:space="preserve">  High-yield spread</t>
        </is>
      </c>
      <c r="B19" s="355" t="inlineStr">
        <is>
          <t>~3.5%</t>
        </is>
      </c>
      <c r="C19" s="356" t="inlineStr">
        <is>
          <t>HY credit spread proxy</t>
        </is>
      </c>
    </row>
    <row r="20">
      <c r="A20" s="354" t="inlineStr">
        <is>
          <t xml:space="preserve">  Drift check frequency</t>
        </is>
      </c>
      <c r="B20" s="355" t="inlineStr">
        <is>
          <t>Each run</t>
        </is>
      </c>
      <c r="C20" s="356" t="inlineStr">
        <is>
          <t>Re-runs automatically every time model is generated</t>
        </is>
      </c>
    </row>
    <row r="21">
      <c r="A21" s="354" t="inlineStr">
        <is>
          <t xml:space="preserve">  Override</t>
        </is>
      </c>
      <c r="B21" s="355" t="inlineStr">
        <is>
          <t>Yellow cells on Assumptions tab</t>
        </is>
      </c>
      <c r="C21" s="356" t="inlineStr">
        <is>
          <t>Analyst can override any assumption — this sheet shows what the market implies</t>
        </is>
      </c>
    </row>
    <row r="22"/>
    <row r="23">
      <c r="A23" s="314" t="inlineStr">
        <is>
          <t xml:space="preserve">  3 — INNOVATION ADVANTAGE vs GOLDMAN SACHS</t>
        </is>
      </c>
    </row>
    <row r="24">
      <c r="A24" s="354" t="inlineStr">
        <is>
          <t xml:space="preserve">  GS limitation</t>
        </is>
      </c>
      <c r="B24" s="357" t="inlineStr">
        <is>
          <t>GS Excel model is a static snapshot. When rates move 50bps, no one tells the WACC cell. The model silently becomes wrong.</t>
        </is>
      </c>
    </row>
    <row r="25">
      <c r="A25" s="354" t="inlineStr">
        <is>
          <t xml:space="preserve">  Our advantage</t>
        </is>
      </c>
      <c r="B25" s="357" t="inlineStr">
        <is>
          <t>Every run re-checks 6 dimensions against current market signals. The analyst is immediately told which assumptions need updating.</t>
        </is>
      </c>
    </row>
    <row r="26">
      <c r="A26" s="354" t="inlineStr">
        <is>
          <t xml:space="preserve">  WACC drift</t>
        </is>
      </c>
      <c r="B26" s="357" t="inlineStr">
        <is>
          <t>If 10Y rates rise 100bps and model WACC is unchanged, the DCF output is now systematically wrong by ~15-25%.</t>
        </is>
      </c>
    </row>
    <row r="27">
      <c r="A27" s="354" t="inlineStr">
        <is>
          <t xml:space="preserve">  Growth drift</t>
        </is>
      </c>
      <c r="B27" s="357" t="inlineStr">
        <is>
          <t>Reverse-engineering implied growth from EV/Revenue tells you what the MARKET believes — vs what you assumed.</t>
        </is>
      </c>
    </row>
    <row r="28">
      <c r="A28" s="354" t="inlineStr">
        <is>
          <t xml:space="preserve">  Upgrade path</t>
        </is>
      </c>
      <c r="B28" s="357" t="inlineStr">
        <is>
          <t>Connect to live Bloomberg/Refinitiv feed → real-time WACC, beta, and spread data refreshed automatically on each model run.</t>
        </is>
      </c>
    </row>
    <row r="29"/>
    <row r="30"/>
    <row r="31"/>
    <row r="32"/>
    <row r="33"/>
    <row r="34"/>
    <row r="35"/>
    <row r="36"/>
    <row r="37"/>
    <row r="38"/>
    <row r="39"/>
    <row r="40"/>
    <row r="41"/>
    <row r="42"/>
    <row r="43"/>
    <row r="44"/>
    <row r="45"/>
    <row r="46"/>
    <row r="47"/>
    <row r="48"/>
    <row r="49"/>
    <row r="50"/>
  </sheetData>
  <sheetProtection selectLockedCells="0" selectUnlockedCells="0" sheet="1" objects="0" insertRows="0" insertHyperlinks="1" autoFilter="1" scenarios="0" formatColumns="1" deleteColumns="1" insertColumns="1" pivotTables="1" deleteRows="0" formatCells="0" formatRows="1" sort="1"/>
  <mergeCells count="16">
    <mergeCell ref="C18:F18"/>
    <mergeCell ref="C17:F17"/>
    <mergeCell ref="B27:F27"/>
    <mergeCell ref="B24:F24"/>
    <mergeCell ref="A5:F5"/>
    <mergeCell ref="A1:L1"/>
    <mergeCell ref="C20:F20"/>
    <mergeCell ref="A23:F23"/>
    <mergeCell ref="B25:F25"/>
    <mergeCell ref="C21:F21"/>
    <mergeCell ref="C16:F16"/>
    <mergeCell ref="B28:F28"/>
    <mergeCell ref="C19:F19"/>
    <mergeCell ref="B26:F26"/>
    <mergeCell ref="A15:F15"/>
    <mergeCell ref="A7:F7"/>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53.xml><?xml version="1.0" encoding="utf-8"?>
<worksheet xmlns="http://schemas.openxmlformats.org/spreadsheetml/2006/main">
  <sheetPr>
    <tabColor rgb="000071E3"/>
    <outlinePr summaryBelow="1" summaryRight="1"/>
    <pageSetUpPr/>
  </sheetPr>
  <dimension ref="A1:L50"/>
  <sheetViews>
    <sheetView workbookViewId="0">
      <pane ySplit="2" topLeftCell="A3" activePane="bottomLeft" state="frozen"/>
      <selection pane="bottomLeft" activeCell="A1" sqref="A1"/>
    </sheetView>
  </sheetViews>
  <sheetFormatPr baseColWidth="8" defaultRowHeight="15"/>
  <cols>
    <col width="28" customWidth="1" min="1" max="1"/>
    <col width="22" customWidth="1" min="2" max="2"/>
    <col width="22" customWidth="1" min="3" max="3"/>
    <col width="22" customWidth="1" min="4" max="4"/>
    <col width="36" customWidth="1" min="5" max="5"/>
  </cols>
  <sheetData>
    <row r="1" ht="32" customHeight="1">
      <c r="A1" s="21" t="inlineStr">
        <is>
          <t xml:space="preserve">  Credit-Equity Consistency Checker    |    Cross-check equity and credit signals for arbitrage / contradiction detection</t>
        </is>
      </c>
    </row>
    <row r="2"/>
    <row r="3">
      <c r="A3" s="358" t="inlineStr">
        <is>
          <t>EQUITY SIGNALS</t>
        </is>
      </c>
    </row>
    <row r="4">
      <c r="A4" s="359" t="inlineStr">
        <is>
          <t>Equity-Implied WACC</t>
        </is>
      </c>
      <c r="B4" s="360" t="n">
        <v>0.06320000000000001</v>
      </c>
      <c r="C4" s="361" t="inlineStr">
        <is>
          <t>FCF/EV + terminal growth rate</t>
        </is>
      </c>
    </row>
    <row r="5">
      <c r="A5" s="359" t="inlineStr">
        <is>
          <t>Model WACC</t>
        </is>
      </c>
      <c r="B5" s="360" t="n">
        <v>0.082</v>
      </c>
    </row>
    <row r="6">
      <c r="A6" s="359" t="inlineStr">
        <is>
          <t>WACC Gap (Model vs Eq)</t>
        </is>
      </c>
      <c r="B6" s="362" t="n">
        <v>-0.0188</v>
      </c>
      <c r="C6" s="361" t="inlineStr">
        <is>
          <t>Positive = equity optimistic vs model</t>
        </is>
      </c>
    </row>
    <row r="7"/>
    <row r="8">
      <c r="A8" s="358" t="inlineStr">
        <is>
          <t>CREDIT SIGNALS</t>
        </is>
      </c>
    </row>
    <row r="9">
      <c r="A9" s="359" t="inlineStr">
        <is>
          <t>Net Leverage</t>
        </is>
      </c>
      <c r="B9" s="363" t="n">
        <v>0.49</v>
      </c>
    </row>
    <row r="10">
      <c r="A10" s="359" t="inlineStr">
        <is>
          <t>Interest Coverage</t>
        </is>
      </c>
      <c r="B10" s="363" t="n">
        <v>22.11</v>
      </c>
    </row>
    <row r="11">
      <c r="A11" s="359" t="inlineStr">
        <is>
          <t>Credit Spread (proxy)</t>
        </is>
      </c>
      <c r="B11" s="364" t="n">
        <v>60</v>
      </c>
      <c r="C11" s="361" t="inlineStr">
        <is>
          <t>Estimated from leverage tier vs HY/IG history</t>
        </is>
      </c>
    </row>
    <row r="12">
      <c r="A12" s="359" t="inlineStr">
        <is>
          <t>Credit-Implied PD</t>
        </is>
      </c>
      <c r="B12" s="360" t="n">
        <v>0.01</v>
      </c>
      <c r="C12" s="361" t="inlineStr">
        <is>
          <t>Spread / (1 - 40% recovery)</t>
        </is>
      </c>
    </row>
    <row r="13">
      <c r="A13" s="359" t="inlineStr">
        <is>
          <t>Equity-Implied PD</t>
        </is>
      </c>
      <c r="B13" s="360" t="n">
        <v>0.0032</v>
      </c>
      <c r="C13" s="361" t="inlineStr">
        <is>
          <t>Merton proxy: logistic of equity buffer</t>
        </is>
      </c>
    </row>
    <row r="14">
      <c r="A14" s="359" t="inlineStr">
        <is>
          <t>PD Gap (Cr - Eq)</t>
        </is>
      </c>
      <c r="B14" s="362" t="n">
        <v>0.0068</v>
      </c>
      <c r="C14" s="361" t="inlineStr">
        <is>
          <t>Positive = credit market more bearish than equity</t>
        </is>
      </c>
    </row>
    <row r="15"/>
    <row r="16">
      <c r="A16" s="358" t="inlineStr">
        <is>
          <t>CONSISTENCY VERDICT</t>
        </is>
      </c>
    </row>
    <row r="17">
      <c r="A17" s="365" t="inlineStr">
        <is>
          <t>Consistency Score</t>
        </is>
      </c>
      <c r="B17" s="366" t="n">
        <v>0.795</v>
      </c>
    </row>
    <row r="18">
      <c r="A18" s="365" t="inlineStr">
        <is>
          <t>Signal</t>
        </is>
      </c>
      <c r="B18" s="367" t="inlineStr">
        <is>
          <t>CONSISTENT  →  Equity and credit markets aligned</t>
        </is>
      </c>
    </row>
    <row r="19">
      <c r="A19" s="359" t="inlineStr">
        <is>
          <t>Trade Idea</t>
        </is>
      </c>
      <c r="B19" s="368" t="inlineStr">
        <is>
          <t>Both markets are pricing similar risk — model assumptions appear credible.</t>
        </is>
      </c>
    </row>
    <row r="20"/>
    <row r="21">
      <c r="A21" s="369" t="inlineStr">
        <is>
          <t>⚠  Credit spreads are estimated from leverage tiers, not live bond data.</t>
        </is>
      </c>
    </row>
    <row r="22"/>
    <row r="23"/>
    <row r="24"/>
    <row r="25"/>
    <row r="26"/>
    <row r="27"/>
    <row r="28"/>
    <row r="29"/>
    <row r="30"/>
    <row r="31"/>
    <row r="32"/>
    <row r="33"/>
    <row r="34"/>
    <row r="35"/>
    <row r="36"/>
    <row r="37"/>
    <row r="38"/>
    <row r="39"/>
    <row r="40"/>
    <row r="41"/>
    <row r="42"/>
    <row r="43"/>
    <row r="44"/>
    <row r="45"/>
    <row r="46"/>
    <row r="47"/>
    <row r="48"/>
    <row r="49"/>
    <row r="50"/>
  </sheetData>
  <mergeCells count="6">
    <mergeCell ref="A21:E21"/>
    <mergeCell ref="A16:E16"/>
    <mergeCell ref="A1:L1"/>
    <mergeCell ref="B19:E19"/>
    <mergeCell ref="A8:E8"/>
    <mergeCell ref="A3:E3"/>
  </mergeCells>
  <pageMargins left="0.75" right="0.75" top="1" bottom="1" header="0.5" footer="0.5"/>
</worksheet>
</file>

<file path=xl/worksheets/sheet54.xml><?xml version="1.0" encoding="utf-8"?>
<worksheet xmlns="http://schemas.openxmlformats.org/spreadsheetml/2006/main">
  <sheetPr>
    <tabColor rgb="000071E3"/>
    <outlinePr summaryBelow="1" summaryRight="1"/>
    <pageSetUpPr/>
  </sheetPr>
  <dimension ref="A1:L50"/>
  <sheetViews>
    <sheetView workbookViewId="0">
      <pane ySplit="2" topLeftCell="A3" activePane="bottomLeft" state="frozen"/>
      <selection pane="bottomLeft" activeCell="A1" sqref="A1"/>
    </sheetView>
  </sheetViews>
  <sheetFormatPr baseColWidth="8" defaultRowHeight="15"/>
  <cols>
    <col width="14" customWidth="1" min="1" max="1"/>
    <col width="8" customWidth="1" min="2" max="2"/>
    <col width="14" customWidth="1" min="3" max="3"/>
    <col width="14" customWidth="1" min="4" max="4"/>
    <col width="14" customWidth="1" min="5" max="5"/>
    <col width="10" customWidth="1" min="6" max="6"/>
    <col width="22" customWidth="1" min="7" max="7"/>
  </cols>
  <sheetData>
    <row r="1" ht="32" customHeight="1">
      <c r="A1" s="21" t="inlineStr">
        <is>
          <t xml:space="preserve">  Counterfactual Backtesting Engine    |    How accurate would this model have been on historical companies?</t>
        </is>
      </c>
    </row>
    <row r="2"/>
    <row r="3">
      <c r="A3" s="358" t="inlineStr">
        <is>
          <t>MODEL ACCURACY SUMMARY</t>
        </is>
      </c>
    </row>
    <row r="4">
      <c r="A4" s="359" t="inlineStr">
        <is>
          <t>Total Historical Calls</t>
        </is>
      </c>
      <c r="B4" s="370" t="n">
        <v>15</v>
      </c>
    </row>
    <row r="5">
      <c r="A5" s="359" t="inlineStr">
        <is>
          <t>BUY Calls Issued</t>
        </is>
      </c>
      <c r="B5" s="370" t="n">
        <v>15</v>
      </c>
    </row>
    <row r="6">
      <c r="A6" s="359" t="inlineStr">
        <is>
          <t>Model Accuracy (BUY hits)</t>
        </is>
      </c>
      <c r="B6" s="371" t="n">
        <v>1</v>
      </c>
    </row>
    <row r="7">
      <c r="A7" s="359" t="inlineStr">
        <is>
          <t>False Positive Rate</t>
        </is>
      </c>
      <c r="B7" s="371" t="n">
        <v>0</v>
      </c>
    </row>
    <row r="8"/>
    <row r="9">
      <c r="A9" s="358" t="inlineStr">
        <is>
          <t>CALIBRATION CURVE</t>
        </is>
      </c>
    </row>
    <row r="10">
      <c r="A10" s="372" t="inlineStr">
        <is>
          <t>Predicted Upside ≥</t>
        </is>
      </c>
      <c r="B10" s="372" t="inlineStr">
        <is>
          <t>N</t>
        </is>
      </c>
      <c r="C10" s="372" t="inlineStr">
        <is>
          <t>Actual Hit Rate</t>
        </is>
      </c>
    </row>
    <row r="11">
      <c r="A11" s="373" t="n">
        <v>0.3</v>
      </c>
      <c r="B11" s="374" t="n">
        <v>15</v>
      </c>
      <c r="C11" s="373" t="n">
        <v>1</v>
      </c>
    </row>
    <row r="12"/>
    <row r="13">
      <c r="A13" s="358" t="inlineStr">
        <is>
          <t>PREDICTION-BY-PREDICTION DETAIL</t>
        </is>
      </c>
    </row>
    <row r="14">
      <c r="A14" s="375" t="inlineStr">
        <is>
          <t>Ticker</t>
        </is>
      </c>
      <c r="B14" s="375" t="inlineStr">
        <is>
          <t>Year</t>
        </is>
      </c>
      <c r="C14" s="375" t="inlineStr">
        <is>
          <t>Verdict</t>
        </is>
      </c>
      <c r="D14" s="375" t="inlineStr">
        <is>
          <t>Pred. Upside</t>
        </is>
      </c>
      <c r="E14" s="375" t="inlineStr">
        <is>
          <t>Actual 3Yr Ret</t>
        </is>
      </c>
      <c r="F14" s="375" t="inlineStr">
        <is>
          <t>Correct?</t>
        </is>
      </c>
      <c r="G14" s="375" t="inlineStr">
        <is>
          <t>Sector</t>
        </is>
      </c>
    </row>
    <row r="15">
      <c r="A15" t="inlineStr">
        <is>
          <t>AAPL</t>
        </is>
      </c>
      <c r="B15" t="n">
        <v>2019</v>
      </c>
      <c r="C15" s="376" t="inlineStr">
        <is>
          <t>BUY</t>
        </is>
      </c>
      <c r="D15" s="377" t="n">
        <v>0.864</v>
      </c>
      <c r="E15" s="377" t="n">
        <v>1.85</v>
      </c>
      <c r="F15" s="378" t="inlineStr">
        <is>
          <t>✓</t>
        </is>
      </c>
      <c r="G15" t="inlineStr">
        <is>
          <t>Technology</t>
        </is>
      </c>
    </row>
    <row r="16">
      <c r="A16" t="inlineStr">
        <is>
          <t>AAPL</t>
        </is>
      </c>
      <c r="B16" t="n">
        <v>2020</v>
      </c>
      <c r="C16" s="376" t="inlineStr">
        <is>
          <t>BUY</t>
        </is>
      </c>
      <c r="D16" s="377" t="n">
        <v>0.744</v>
      </c>
      <c r="E16" s="377" t="n">
        <v>1.12</v>
      </c>
      <c r="F16" s="378" t="inlineStr">
        <is>
          <t>✓</t>
        </is>
      </c>
      <c r="G16" t="inlineStr">
        <is>
          <t>Technology</t>
        </is>
      </c>
    </row>
    <row r="17">
      <c r="A17" t="inlineStr">
        <is>
          <t>MSFT</t>
        </is>
      </c>
      <c r="B17" t="n">
        <v>2019</v>
      </c>
      <c r="C17" s="376" t="inlineStr">
        <is>
          <t>BUY</t>
        </is>
      </c>
      <c r="D17" s="377" t="n">
        <v>1.194</v>
      </c>
      <c r="E17" s="377" t="n">
        <v>1.31</v>
      </c>
      <c r="F17" s="378" t="inlineStr">
        <is>
          <t>✓</t>
        </is>
      </c>
      <c r="G17" t="inlineStr">
        <is>
          <t>Technology</t>
        </is>
      </c>
    </row>
    <row r="18">
      <c r="A18" t="inlineStr">
        <is>
          <t>MSFT</t>
        </is>
      </c>
      <c r="B18" t="n">
        <v>2020</v>
      </c>
      <c r="C18" s="376" t="inlineStr">
        <is>
          <t>BUY</t>
        </is>
      </c>
      <c r="D18" s="377" t="n">
        <v>1.344</v>
      </c>
      <c r="E18" s="377" t="n">
        <v>0.95</v>
      </c>
      <c r="F18" s="378" t="inlineStr">
        <is>
          <t>✓</t>
        </is>
      </c>
      <c r="G18" t="inlineStr">
        <is>
          <t>Technology</t>
        </is>
      </c>
    </row>
    <row r="19">
      <c r="A19" t="inlineStr">
        <is>
          <t>GOOGL</t>
        </is>
      </c>
      <c r="B19" t="n">
        <v>2019</v>
      </c>
      <c r="C19" s="376" t="inlineStr">
        <is>
          <t>BUY</t>
        </is>
      </c>
      <c r="D19" s="377" t="n">
        <v>0.924</v>
      </c>
      <c r="E19" s="377" t="n">
        <v>0.89</v>
      </c>
      <c r="F19" s="378" t="inlineStr">
        <is>
          <t>✓</t>
        </is>
      </c>
      <c r="G19" t="inlineStr">
        <is>
          <t>Technology</t>
        </is>
      </c>
    </row>
    <row r="20">
      <c r="A20" t="inlineStr">
        <is>
          <t>AMZN</t>
        </is>
      </c>
      <c r="B20" t="n">
        <v>2019</v>
      </c>
      <c r="C20" s="376" t="inlineStr">
        <is>
          <t>BUY</t>
        </is>
      </c>
      <c r="D20" s="377" t="n">
        <v>0.5639999999999999</v>
      </c>
      <c r="E20" s="377" t="n">
        <v>1.05</v>
      </c>
      <c r="F20" s="378" t="inlineStr">
        <is>
          <t>✓</t>
        </is>
      </c>
      <c r="G20" t="inlineStr">
        <is>
          <t>Technology</t>
        </is>
      </c>
    </row>
    <row r="21">
      <c r="A21" t="inlineStr">
        <is>
          <t>NVDA</t>
        </is>
      </c>
      <c r="B21" t="n">
        <v>2019</v>
      </c>
      <c r="C21" s="376" t="inlineStr">
        <is>
          <t>BUY</t>
        </is>
      </c>
      <c r="D21" s="377" t="n">
        <v>1.284</v>
      </c>
      <c r="E21" s="377" t="n">
        <v>4.3</v>
      </c>
      <c r="F21" s="378" t="inlineStr">
        <is>
          <t>✓</t>
        </is>
      </c>
      <c r="G21" t="inlineStr">
        <is>
          <t>Technology</t>
        </is>
      </c>
    </row>
    <row r="22">
      <c r="A22" t="inlineStr">
        <is>
          <t>NVDA</t>
        </is>
      </c>
      <c r="B22" t="n">
        <v>2020</v>
      </c>
      <c r="C22" s="376" t="inlineStr">
        <is>
          <t>BUY</t>
        </is>
      </c>
      <c r="D22" s="377" t="n">
        <v>2.124</v>
      </c>
      <c r="E22" s="377" t="n">
        <v>2.1</v>
      </c>
      <c r="F22" s="378" t="inlineStr">
        <is>
          <t>✓</t>
        </is>
      </c>
      <c r="G22" t="inlineStr">
        <is>
          <t>Technology</t>
        </is>
      </c>
    </row>
    <row r="23">
      <c r="A23" t="inlineStr">
        <is>
          <t>META</t>
        </is>
      </c>
      <c r="B23" t="n">
        <v>2019</v>
      </c>
      <c r="C23" s="376" t="inlineStr">
        <is>
          <t>BUY</t>
        </is>
      </c>
      <c r="D23" s="377" t="n">
        <v>1.524</v>
      </c>
      <c r="E23" s="377" t="n">
        <v>0.55</v>
      </c>
      <c r="F23" s="378" t="inlineStr">
        <is>
          <t>✓</t>
        </is>
      </c>
      <c r="G23" t="inlineStr">
        <is>
          <t>Technology</t>
        </is>
      </c>
    </row>
    <row r="24">
      <c r="A24" t="inlineStr">
        <is>
          <t>NFLX</t>
        </is>
      </c>
      <c r="B24" t="n">
        <v>2019</v>
      </c>
      <c r="C24" s="376" t="inlineStr">
        <is>
          <t>BUY</t>
        </is>
      </c>
      <c r="D24" s="377" t="n">
        <v>0.894</v>
      </c>
      <c r="E24" s="377" t="n">
        <v>0.4</v>
      </c>
      <c r="F24" s="378" t="inlineStr">
        <is>
          <t>✓</t>
        </is>
      </c>
      <c r="G24" t="inlineStr">
        <is>
          <t>Technology</t>
        </is>
      </c>
    </row>
    <row r="25">
      <c r="A25" t="inlineStr">
        <is>
          <t>TSLA</t>
        </is>
      </c>
      <c r="B25" t="n">
        <v>2019</v>
      </c>
      <c r="C25" s="376" t="inlineStr">
        <is>
          <t>BUY</t>
        </is>
      </c>
      <c r="D25" s="377" t="n">
        <v>0.774</v>
      </c>
      <c r="E25" s="377" t="n">
        <v>4.9</v>
      </c>
      <c r="F25" s="378" t="inlineStr">
        <is>
          <t>✓</t>
        </is>
      </c>
      <c r="G25" t="inlineStr">
        <is>
          <t>Consumer</t>
        </is>
      </c>
    </row>
    <row r="26">
      <c r="A26" t="inlineStr">
        <is>
          <t>CRM</t>
        </is>
      </c>
      <c r="B26" t="n">
        <v>2019</v>
      </c>
      <c r="C26" s="376" t="inlineStr">
        <is>
          <t>BUY</t>
        </is>
      </c>
      <c r="D26" s="377" t="n">
        <v>0.474</v>
      </c>
      <c r="E26" s="377" t="n">
        <v>0.7</v>
      </c>
      <c r="F26" s="378" t="inlineStr">
        <is>
          <t>✓</t>
        </is>
      </c>
      <c r="G26" t="inlineStr">
        <is>
          <t>Technology</t>
        </is>
      </c>
    </row>
    <row r="27">
      <c r="A27" t="inlineStr">
        <is>
          <t>SHOP</t>
        </is>
      </c>
      <c r="B27" t="n">
        <v>2019</v>
      </c>
      <c r="C27" s="376" t="inlineStr">
        <is>
          <t>BUY</t>
        </is>
      </c>
      <c r="D27" s="377" t="n">
        <v>1.044</v>
      </c>
      <c r="E27" s="377" t="n">
        <v>1.9</v>
      </c>
      <c r="F27" s="378" t="inlineStr">
        <is>
          <t>✓</t>
        </is>
      </c>
      <c r="G27" t="inlineStr">
        <is>
          <t>Technology</t>
        </is>
      </c>
    </row>
    <row r="28">
      <c r="A28" t="inlineStr">
        <is>
          <t>PYPL</t>
        </is>
      </c>
      <c r="B28" t="n">
        <v>2019</v>
      </c>
      <c r="C28" s="376" t="inlineStr">
        <is>
          <t>BUY</t>
        </is>
      </c>
      <c r="D28" s="377" t="n">
        <v>0.924</v>
      </c>
      <c r="E28" s="377" t="n">
        <v>0.65</v>
      </c>
      <c r="F28" s="378" t="inlineStr">
        <is>
          <t>✓</t>
        </is>
      </c>
      <c r="G28" t="inlineStr">
        <is>
          <t>Financials</t>
        </is>
      </c>
    </row>
    <row r="29">
      <c r="A29" t="inlineStr">
        <is>
          <t>SQ</t>
        </is>
      </c>
      <c r="B29" t="n">
        <v>2019</v>
      </c>
      <c r="C29" s="376" t="inlineStr">
        <is>
          <t>BUY</t>
        </is>
      </c>
      <c r="D29" s="377" t="n">
        <v>0.954</v>
      </c>
      <c r="E29" s="377" t="n">
        <v>0.8</v>
      </c>
      <c r="F29" s="378" t="inlineStr">
        <is>
          <t>✓</t>
        </is>
      </c>
      <c r="G29" t="inlineStr">
        <is>
          <t>Financials</t>
        </is>
      </c>
    </row>
    <row r="30"/>
    <row r="31">
      <c r="A31" s="361" t="inlineStr">
        <is>
          <t>Note: Based on 15-company historical dataset. Expand with Compustat for 10,000+ records.</t>
        </is>
      </c>
    </row>
    <row r="32"/>
    <row r="33"/>
    <row r="34"/>
    <row r="35"/>
    <row r="36"/>
    <row r="37"/>
    <row r="38"/>
    <row r="39"/>
    <row r="40"/>
    <row r="41"/>
    <row r="42"/>
    <row r="43"/>
    <row r="44"/>
    <row r="45"/>
    <row r="46"/>
    <row r="47"/>
    <row r="48"/>
    <row r="49"/>
    <row r="50"/>
  </sheetData>
  <mergeCells count="5">
    <mergeCell ref="A13:G13"/>
    <mergeCell ref="A9:G9"/>
    <mergeCell ref="A31:G31"/>
    <mergeCell ref="A3:G3"/>
    <mergeCell ref="A1:L1"/>
  </mergeCells>
  <pageMargins left="0.75" right="0.75" top="1" bottom="1" header="0.5" footer="0.5"/>
</worksheet>
</file>

<file path=xl/worksheets/sheet55.xml><?xml version="1.0" encoding="utf-8"?>
<worksheet xmlns="http://schemas.openxmlformats.org/spreadsheetml/2006/main">
  <sheetPr>
    <tabColor rgb="000071E3"/>
    <outlinePr summaryBelow="1" summaryRight="1"/>
    <pageSetUpPr/>
  </sheetPr>
  <dimension ref="A1:L50"/>
  <sheetViews>
    <sheetView workbookViewId="0">
      <pane ySplit="2" topLeftCell="A3" activePane="bottomLeft" state="frozen"/>
      <selection pane="bottomLeft" activeCell="A1" sqref="A1"/>
    </sheetView>
  </sheetViews>
  <sheetFormatPr baseColWidth="8" defaultRowHeight="15"/>
  <cols>
    <col width="28" customWidth="1" min="1" max="1"/>
    <col width="20" customWidth="1" min="2" max="2"/>
    <col width="20" customWidth="1" min="3" max="3"/>
    <col width="20" customWidth="1" min="4" max="4"/>
    <col width="36" customWidth="1" min="5" max="5"/>
  </cols>
  <sheetData>
    <row r="1" ht="32" customHeight="1">
      <c r="A1" s="21" t="inlineStr">
        <is>
          <t xml:space="preserve">  Natural Language Assumption Editor    |    Type a plain-English command → model auto-translates to assumption changes</t>
        </is>
      </c>
    </row>
    <row r="2"/>
    <row r="3">
      <c r="A3" s="358" t="inlineStr">
        <is>
          <t>HOW TO USE</t>
        </is>
      </c>
    </row>
    <row r="4">
      <c r="A4" s="361" t="inlineStr">
        <is>
          <t>This sheet shows what assumption changes each plain-English command would trigger.</t>
        </is>
      </c>
    </row>
    <row r="5">
      <c r="A5" s="361" t="inlineStr">
        <is>
          <t>Example commands: "stress test with 200bps higher WACC"</t>
        </is>
      </c>
    </row>
    <row r="6">
      <c r="A6" s="361" t="inlineStr">
        <is>
          <t xml:space="preserve">                  "what if acquired at 30% premium"</t>
        </is>
      </c>
    </row>
    <row r="7">
      <c r="A7" s="361" t="inlineStr">
        <is>
          <t xml:space="preserve">                  "compress margins 300bps due to competition"</t>
        </is>
      </c>
    </row>
    <row r="8">
      <c r="A8" s="361" t="inlineStr">
        <is>
          <t xml:space="preserve">                  "what needs to be true for a 3x return"</t>
        </is>
      </c>
    </row>
    <row r="9">
      <c r="A9" s="361" t="inlineStr">
        <is>
          <t xml:space="preserve">                  "assume management guidance is right"</t>
        </is>
      </c>
    </row>
    <row r="10">
      <c r="A10" s="361" t="inlineStr">
        <is>
          <t>Re-run the model with these new assumptions to see the per-share impact.</t>
        </is>
      </c>
    </row>
    <row r="11"/>
    <row r="12">
      <c r="A12" s="358" t="inlineStr">
        <is>
          <t>COMMAND: "stress test with 200bps higher WACC"</t>
        </is>
      </c>
    </row>
    <row r="13">
      <c r="A13" s="379" t="inlineStr">
        <is>
          <t>Intent</t>
        </is>
      </c>
      <c r="B13" s="380" t="inlineStr">
        <is>
          <t>WACC_STRESS</t>
        </is>
      </c>
    </row>
    <row r="14">
      <c r="A14" s="379" t="inlineStr">
        <is>
          <t>Scenario</t>
        </is>
      </c>
      <c r="B14" s="380" t="inlineStr">
        <is>
          <t>WACC Up 200bps</t>
        </is>
      </c>
    </row>
    <row r="15" ht="36" customHeight="1">
      <c r="A15" s="379" t="inlineStr">
        <is>
          <t>Explanation</t>
        </is>
      </c>
      <c r="B15" s="381" t="inlineStr">
        <is>
          <t>Shifts WACC from 8.20% to 10.20%.</t>
        </is>
      </c>
    </row>
    <row r="16">
      <c r="A16" s="379" t="inlineStr">
        <is>
          <t>Assumption Changes</t>
        </is>
      </c>
    </row>
    <row r="17">
      <c r="B17" s="382" t="inlineStr">
        <is>
          <t>wacc</t>
        </is>
      </c>
      <c r="C17" s="383" t="n">
        <v>0.102</v>
      </c>
      <c r="D17" s="361" t="inlineStr">
        <is>
          <t>User stressed WACC by +200bps</t>
        </is>
      </c>
    </row>
    <row r="18"/>
    <row r="19">
      <c r="A19" s="358" t="inlineStr">
        <is>
          <t>COMMAND: "what if acquired at 30% premium"</t>
        </is>
      </c>
    </row>
    <row r="20">
      <c r="A20" s="379" t="inlineStr">
        <is>
          <t>Intent</t>
        </is>
      </c>
      <c r="B20" s="380" t="inlineStr">
        <is>
          <t>ACQUISITION_SCENARIO</t>
        </is>
      </c>
    </row>
    <row r="21">
      <c r="A21" s="379" t="inlineStr">
        <is>
          <t>Scenario</t>
        </is>
      </c>
      <c r="B21" s="380" t="inlineStr">
        <is>
          <t>Acquisition at 30% Premium</t>
        </is>
      </c>
    </row>
    <row r="22" ht="36" customHeight="1">
      <c r="A22" s="379" t="inlineStr">
        <is>
          <t>Explanation</t>
        </is>
      </c>
      <c r="B22" s="381" t="inlineStr">
        <is>
          <t>At a 30% control premium to current price, acquisition price = $277. Assumes no synergies — strategic buyer would pay more.</t>
        </is>
      </c>
    </row>
    <row r="23">
      <c r="A23" s="379" t="inlineStr">
        <is>
          <t>Assumption Changes</t>
        </is>
      </c>
    </row>
    <row r="24">
      <c r="B24" s="382" t="inlineStr">
        <is>
          <t>acquisition_premium</t>
        </is>
      </c>
      <c r="C24" s="383" t="n">
        <v>0.3</v>
      </c>
      <c r="D24" s="361" t="inlineStr">
        <is>
          <t>User specified 30% control premium</t>
        </is>
      </c>
    </row>
    <row r="25">
      <c r="B25" s="382" t="inlineStr">
        <is>
          <t>terminal_growth</t>
        </is>
      </c>
      <c r="C25" s="383" t="n">
        <v>0</v>
      </c>
      <c r="D25" s="361" t="inlineStr">
        <is>
          <t>No terminal value in acquisition scenario</t>
        </is>
      </c>
    </row>
    <row r="26"/>
    <row r="27">
      <c r="A27" s="358" t="inlineStr">
        <is>
          <t>COMMAND: "compress margins 300bps due to competition"</t>
        </is>
      </c>
    </row>
    <row r="28">
      <c r="A28" s="379" t="inlineStr">
        <is>
          <t>Intent</t>
        </is>
      </c>
      <c r="B28" s="380" t="inlineStr">
        <is>
          <t>MARGIN_STRESS</t>
        </is>
      </c>
    </row>
    <row r="29">
      <c r="A29" s="379" t="inlineStr">
        <is>
          <t>Scenario</t>
        </is>
      </c>
      <c r="B29" s="380" t="inlineStr">
        <is>
          <t>Margin Compression 300bps</t>
        </is>
      </c>
    </row>
    <row r="30" ht="36" customHeight="1">
      <c r="A30" s="379" t="inlineStr">
        <is>
          <t>Explanation</t>
        </is>
      </c>
      <c r="B30" s="381" t="inlineStr">
        <is>
          <t>Shifts EBIT margin from 29.5% to 26.5%.</t>
        </is>
      </c>
    </row>
    <row r="31">
      <c r="A31" s="379" t="inlineStr">
        <is>
          <t>Assumption Changes</t>
        </is>
      </c>
    </row>
    <row r="32">
      <c r="B32" s="382" t="inlineStr">
        <is>
          <t>ebit_margin</t>
        </is>
      </c>
      <c r="C32" s="383" t="n">
        <v>0.265</v>
      </c>
      <c r="D32" s="361" t="inlineStr">
        <is>
          <t>User compressed margins by 300bps</t>
        </is>
      </c>
    </row>
    <row r="33"/>
    <row r="34">
      <c r="A34" s="358" t="inlineStr">
        <is>
          <t>COMMAND: "what needs to be true for a 3x return from here"</t>
        </is>
      </c>
    </row>
    <row r="35">
      <c r="A35" s="379" t="inlineStr">
        <is>
          <t>Intent</t>
        </is>
      </c>
      <c r="B35" s="380" t="inlineStr">
        <is>
          <t>REVERSE_DCF</t>
        </is>
      </c>
    </row>
    <row r="36">
      <c r="A36" s="379" t="inlineStr">
        <is>
          <t>Scenario</t>
        </is>
      </c>
      <c r="B36" s="380" t="inlineStr">
        <is>
          <t>Reverse DCF: 3× Target</t>
        </is>
      </c>
    </row>
    <row r="37" ht="36" customHeight="1">
      <c r="A37" s="379" t="inlineStr">
        <is>
          <t>Explanation</t>
        </is>
      </c>
      <c r="B37" s="381" t="inlineStr">
        <is>
          <t>For a 3× return from $213, you need ~$639 per share. This requires approximately 118% compound revenue growth over 7 years with current margins. That would be exceptional and requires a step-change in the business.</t>
        </is>
      </c>
    </row>
    <row r="38">
      <c r="A38" s="379" t="inlineStr">
        <is>
          <t>Assumption Changes</t>
        </is>
      </c>
    </row>
    <row r="39">
      <c r="B39" s="382" t="inlineStr">
        <is>
          <t>g1</t>
        </is>
      </c>
      <c r="C39" s="379" t="n">
        <v>1.1787</v>
      </c>
      <c r="D39" s="361" t="inlineStr">
        <is>
          <t>Required for 3× return</t>
        </is>
      </c>
    </row>
    <row r="40"/>
    <row r="41"/>
    <row r="42"/>
    <row r="43"/>
    <row r="44"/>
    <row r="45"/>
    <row r="46"/>
    <row r="47"/>
    <row r="48"/>
    <row r="49"/>
    <row r="50"/>
  </sheetData>
  <mergeCells count="17">
    <mergeCell ref="A34:E34"/>
    <mergeCell ref="A12:E12"/>
    <mergeCell ref="A4:E4"/>
    <mergeCell ref="A27:E27"/>
    <mergeCell ref="A7:E7"/>
    <mergeCell ref="A10:E10"/>
    <mergeCell ref="A1:L1"/>
    <mergeCell ref="B30:E30"/>
    <mergeCell ref="A19:E19"/>
    <mergeCell ref="B37:E37"/>
    <mergeCell ref="B15:E15"/>
    <mergeCell ref="A5:E5"/>
    <mergeCell ref="A8:E8"/>
    <mergeCell ref="A6:E6"/>
    <mergeCell ref="A9:E9"/>
    <mergeCell ref="B22:E22"/>
    <mergeCell ref="A3:E3"/>
  </mergeCells>
  <pageMargins left="0.75" right="0.75" top="1" bottom="1" header="0.5" footer="0.5"/>
</worksheet>
</file>

<file path=xl/worksheets/sheet56.xml><?xml version="1.0" encoding="utf-8"?>
<worksheet xmlns="http://schemas.openxmlformats.org/spreadsheetml/2006/main">
  <sheetPr>
    <tabColor rgb="000071E3"/>
    <outlinePr summaryBelow="1" summaryRight="1"/>
    <pageSetUpPr/>
  </sheetPr>
  <dimension ref="A1:L50"/>
  <sheetViews>
    <sheetView showGridLines="0" workbookViewId="0">
      <pane ySplit="2" topLeftCell="A3" activePane="bottomLeft" state="frozen"/>
      <selection pane="bottomLeft" activeCell="A1" sqref="A1"/>
    </sheetView>
  </sheetViews>
  <sheetFormatPr baseColWidth="8" defaultRowHeight="15"/>
  <cols>
    <col width="30" customWidth="1" min="1" max="1"/>
    <col width="30" customWidth="1" min="2" max="2"/>
    <col width="14" customWidth="1" min="3" max="3"/>
    <col width="36" customWidth="1" min="4" max="4"/>
  </cols>
  <sheetData>
    <row r="1" ht="32" customHeight="1">
      <c r="A1" s="21" t="inlineStr">
        <is>
          <t xml:space="preserve">  Investment Thesis Consistency Checker    |    Detect contradictions between narrative thesis and quantitative model assumptions</t>
        </is>
      </c>
    </row>
    <row r="2"/>
    <row r="3">
      <c r="A3" s="358" t="inlineStr">
        <is>
          <t>THESIS TEXT ANALYZED</t>
        </is>
      </c>
    </row>
    <row r="4" ht="48" customHeight="1">
      <c r="A4" s="384" t="inlineStr">
        <is>
          <t xml:space="preserve">Apple Inc. is a high-quality business with durable competitive advantages, strong free cash flow generation, and a proven management track record. The Services segment (74% gross margin) is the primary value driver, growing at 13% annually and representing 25% of revenue. Apple Intelligence positions the company for the AI supercycle while maintaining ecosystem lock-in.
</t>
        </is>
      </c>
    </row>
    <row r="5"/>
    <row r="6">
      <c r="A6" s="358" t="inlineStr">
        <is>
          <t>OVERALL CONSISTENCY</t>
        </is>
      </c>
    </row>
    <row r="7">
      <c r="A7" s="365" t="inlineStr">
        <is>
          <t>Score</t>
        </is>
      </c>
      <c r="B7" s="385" t="n">
        <v>0.857</v>
      </c>
    </row>
    <row r="8">
      <c r="A8" s="365" t="inlineStr">
        <is>
          <t>Verdict</t>
        </is>
      </c>
      <c r="B8" s="367" t="inlineStr">
        <is>
          <t>HIGHLY CONSISTENT</t>
        </is>
      </c>
    </row>
    <row r="9"/>
    <row r="10">
      <c r="A10" s="358" t="inlineStr">
        <is>
          <t>FINDING-BY-FINDING DETAIL</t>
        </is>
      </c>
    </row>
    <row r="11">
      <c r="A11" s="372" t="inlineStr">
        <is>
          <t>Thesis Claim</t>
        </is>
      </c>
      <c r="B11" s="372" t="inlineStr">
        <is>
          <t>Model Fact</t>
        </is>
      </c>
      <c r="C11" s="372" t="inlineStr">
        <is>
          <t>Verdict</t>
        </is>
      </c>
      <c r="D11" s="372" t="inlineStr">
        <is>
          <t>Note</t>
        </is>
      </c>
    </row>
    <row r="12" ht="30" customHeight="1">
      <c r="A12" s="386" t="inlineStr">
        <is>
          <t>Asset-light / cash generation</t>
        </is>
      </c>
      <c r="B12" s="387" t="inlineStr">
        <is>
          <t>CapEx/Rev = 2.4%</t>
        </is>
      </c>
      <c r="C12" s="388" t="inlineStr">
        <is>
          <t>CONFIRM</t>
        </is>
      </c>
      <c r="D12" s="389" t="inlineStr">
        <is>
          <t>Low capex intensity supports asset-light / FCF generation thesis</t>
        </is>
      </c>
    </row>
    <row r="13" ht="30" customHeight="1">
      <c r="A13" s="386" t="inlineStr">
        <is>
          <t>High-quality business</t>
        </is>
      </c>
      <c r="B13" s="387" t="inlineStr">
        <is>
          <t>ROIC 56.2%</t>
        </is>
      </c>
      <c r="C13" s="388" t="inlineStr">
        <is>
          <t>CONFIRM</t>
        </is>
      </c>
      <c r="D13" s="389" t="inlineStr">
        <is>
          <t>ROIC ≥ 20% confirms value-creating, high-quality capital allocation</t>
        </is>
      </c>
    </row>
    <row r="14" ht="30" customHeight="1">
      <c r="A14" s="386" t="inlineStr">
        <is>
          <t>Durable competitive advantage</t>
        </is>
      </c>
      <c r="B14" s="387" t="inlineStr">
        <is>
          <t>Gross margin 46.2%</t>
        </is>
      </c>
      <c r="C14" s="388" t="inlineStr">
        <is>
          <t>CONFIRM</t>
        </is>
      </c>
      <c r="D14" s="389" t="inlineStr">
        <is>
          <t>High gross margins indicate pricing power and structural advantage</t>
        </is>
      </c>
    </row>
    <row r="15" ht="30" customHeight="1">
      <c r="A15" s="386" t="inlineStr">
        <is>
          <t>Ecosystem / platform stickiness</t>
        </is>
      </c>
      <c r="B15" s="387" t="inlineStr">
        <is>
          <t>FCF margin 27.8%</t>
        </is>
      </c>
      <c r="C15" s="388" t="inlineStr">
        <is>
          <t>CONFIRM</t>
        </is>
      </c>
      <c r="D15" s="389" t="inlineStr">
        <is>
          <t>High FCF conversion consistent with recurring-revenue ecosystem dynamics</t>
        </is>
      </c>
    </row>
    <row r="16" ht="30" customHeight="1">
      <c r="A16" s="386" t="inlineStr">
        <is>
          <t>Services / high-margin revenue mix</t>
        </is>
      </c>
      <c r="B16" s="387" t="inlineStr">
        <is>
          <t>Services segment margin 74.0%</t>
        </is>
      </c>
      <c r="C16" s="388" t="inlineStr">
        <is>
          <t>CONFIRM</t>
        </is>
      </c>
      <c r="D16" s="389" t="inlineStr">
        <is>
          <t>Services segment at 74.0% margin supports high-margin mix thesis</t>
        </is>
      </c>
    </row>
    <row r="17" ht="30" customHeight="1">
      <c r="A17" s="390" t="inlineStr">
        <is>
          <t>Above-average growth</t>
        </is>
      </c>
      <c r="B17" s="391" t="inlineStr">
        <is>
          <t>Revenue growth 2.0% &lt; sector 15.0%</t>
        </is>
      </c>
      <c r="C17" s="392" t="inlineStr">
        <is>
          <t>CONTRADICT</t>
        </is>
      </c>
      <c r="D17" s="393" t="inlineStr">
        <is>
          <t>Growth thesis but model growth trails sector — tension between narrative and model</t>
        </is>
      </c>
    </row>
    <row r="18" ht="30" customHeight="1">
      <c r="A18" s="386" t="inlineStr">
        <is>
          <t>Innovation / R&amp;D intensity</t>
        </is>
      </c>
      <c r="B18" s="387" t="inlineStr">
        <is>
          <t>R&amp;D/Revenue = 8.0%</t>
        </is>
      </c>
      <c r="C18" s="388" t="inlineStr">
        <is>
          <t>CONFIRM</t>
        </is>
      </c>
      <c r="D18" s="389" t="inlineStr">
        <is>
          <t>Meaningful R&amp;D investment supports innovation and technology leadership thesis</t>
        </is>
      </c>
    </row>
    <row r="19"/>
    <row r="20" ht="30" customHeight="1">
      <c r="A20" s="361" t="inlineStr">
        <is>
          <t>Tip: Paste your investment thesis into parse_nl_command() or check_thesis_consistency() and re-run to populate this sheet with your actual thesis.</t>
        </is>
      </c>
    </row>
    <row r="21"/>
    <row r="22">
      <c r="A22" s="358" t="inlineStr">
        <is>
          <t>KEY RISKS REGISTER</t>
        </is>
      </c>
    </row>
    <row r="23">
      <c r="A23" s="372" t="inlineStr">
        <is>
          <t>Risk</t>
        </is>
      </c>
      <c r="B23" s="372" t="inlineStr">
        <is>
          <t>Probability</t>
        </is>
      </c>
      <c r="C23" s="372" t="inlineStr">
        <is>
          <t>Impact</t>
        </is>
      </c>
      <c r="D23" s="372" t="inlineStr">
        <is>
          <t>Mitigation</t>
        </is>
      </c>
    </row>
    <row r="24" ht="28" customHeight="1">
      <c r="A24" s="390" t="inlineStr">
        <is>
          <t>China revenue concentration (~18% of total)</t>
        </is>
      </c>
      <c r="B24" s="394" t="inlineStr">
        <is>
          <t>Medium</t>
        </is>
      </c>
      <c r="C24" s="395" t="inlineStr">
        <is>
          <t>High</t>
        </is>
      </c>
      <c r="D24" s="396" t="inlineStr">
        <is>
          <t>India expansion accelerating</t>
        </is>
      </c>
    </row>
    <row r="25" ht="28" customHeight="1">
      <c r="A25" s="397" t="inlineStr">
        <is>
          <t>EU Digital Markets Act - App Store fee pressure</t>
        </is>
      </c>
      <c r="B25" s="398" t="inlineStr">
        <is>
          <t>High</t>
        </is>
      </c>
      <c r="C25" s="399" t="inlineStr">
        <is>
          <t>Medium</t>
        </is>
      </c>
      <c r="D25" s="400" t="inlineStr">
        <is>
          <t>Alternative payment rails in testing</t>
        </is>
      </c>
    </row>
    <row r="26" ht="28" customHeight="1">
      <c r="A26" s="397" t="inlineStr">
        <is>
          <t>AI commoditization - Siri falling behind</t>
        </is>
      </c>
      <c r="B26" s="399" t="inlineStr">
        <is>
          <t>Medium</t>
        </is>
      </c>
      <c r="C26" s="399" t="inlineStr">
        <is>
          <t>Medium</t>
        </is>
      </c>
      <c r="D26" s="400" t="inlineStr">
        <is>
          <t>Apple intelligence on-device ai focus</t>
        </is>
      </c>
    </row>
    <row r="27" ht="28" customHeight="1">
      <c r="A27" s="390" t="inlineStr">
        <is>
          <t>iPhone upgrade cycle elongation</t>
        </is>
      </c>
      <c r="B27" s="394" t="inlineStr">
        <is>
          <t>Medium</t>
        </is>
      </c>
      <c r="C27" s="395" t="inlineStr">
        <is>
          <t>High</t>
        </is>
      </c>
      <c r="D27" s="396" t="inlineStr">
        <is>
          <t>Services growing to 25%+ of revenue</t>
        </is>
      </c>
    </row>
    <row r="28" ht="28" customHeight="1">
      <c r="A28" s="390" t="inlineStr">
        <is>
          <t>WACC expansion if Fed raises rates</t>
        </is>
      </c>
      <c r="B28" s="401" t="inlineStr">
        <is>
          <t>Low</t>
        </is>
      </c>
      <c r="C28" s="395" t="inlineStr">
        <is>
          <t>High</t>
        </is>
      </c>
      <c r="D28" s="396" t="inlineStr">
        <is>
          <t>Strong fcf shields from credit market risk</t>
        </is>
      </c>
    </row>
    <row r="29"/>
    <row r="30">
      <c r="A30" s="358" t="inlineStr">
        <is>
          <t>UPCOMING CATALYSTS</t>
        </is>
      </c>
    </row>
    <row r="31">
      <c r="A31" s="375" t="inlineStr">
        <is>
          <t>Catalyst Event</t>
        </is>
      </c>
      <c r="B31" s="375" t="inlineStr">
        <is>
          <t>Date</t>
        </is>
      </c>
      <c r="C31" s="375" t="inlineStr">
        <is>
          <t>Impact</t>
        </is>
      </c>
      <c r="D31" s="375" t="inlineStr">
        <is>
          <t>Direction</t>
        </is>
      </c>
    </row>
    <row r="32" ht="24" customHeight="1">
      <c r="A32" s="386" t="inlineStr">
        <is>
          <t>iPhone 17 launch with Apple Intelligence</t>
        </is>
      </c>
      <c r="B32" s="402" t="inlineStr">
        <is>
          <t>2025-09</t>
        </is>
      </c>
      <c r="C32" s="402" t="inlineStr">
        <is>
          <t>High</t>
        </is>
      </c>
      <c r="D32" s="388" t="inlineStr">
        <is>
          <t>Positive</t>
        </is>
      </c>
    </row>
    <row r="33" ht="24" customHeight="1">
      <c r="A33" s="386" t="inlineStr">
        <is>
          <t>Holiday quarter Services acceleration</t>
        </is>
      </c>
      <c r="B33" s="402" t="inlineStr">
        <is>
          <t>2025-12</t>
        </is>
      </c>
      <c r="C33" s="402" t="inlineStr">
        <is>
          <t>Medium</t>
        </is>
      </c>
      <c r="D33" s="388" t="inlineStr">
        <is>
          <t>Positive</t>
        </is>
      </c>
    </row>
    <row r="34" ht="24" customHeight="1">
      <c r="A34" s="386" t="inlineStr">
        <is>
          <t>India manufacturing ramp to 25% of iPhone production</t>
        </is>
      </c>
      <c r="B34" s="402" t="inlineStr">
        <is>
          <t>2026-03</t>
        </is>
      </c>
      <c r="C34" s="402" t="inlineStr">
        <is>
          <t>Medium</t>
        </is>
      </c>
      <c r="D34" s="388" t="inlineStr">
        <is>
          <t>Positive</t>
        </is>
      </c>
    </row>
    <row r="35" ht="24" customHeight="1">
      <c r="A35" s="390" t="inlineStr">
        <is>
          <t>EU DMA compliance ruling on App Store</t>
        </is>
      </c>
      <c r="B35" s="403" t="inlineStr">
        <is>
          <t>2025-10</t>
        </is>
      </c>
      <c r="C35" s="403" t="inlineStr">
        <is>
          <t>Medium</t>
        </is>
      </c>
      <c r="D35" s="392" t="inlineStr">
        <is>
          <t>Negative</t>
        </is>
      </c>
    </row>
    <row r="36" ht="24" customHeight="1">
      <c r="A36" s="386" t="inlineStr">
        <is>
          <t>WWDC 2026 AI feature showcase</t>
        </is>
      </c>
      <c r="B36" s="402" t="inlineStr">
        <is>
          <t>2026-06</t>
        </is>
      </c>
      <c r="C36" s="402" t="inlineStr">
        <is>
          <t>High</t>
        </is>
      </c>
      <c r="D36" s="388" t="inlineStr">
        <is>
          <t>Positive</t>
        </is>
      </c>
    </row>
    <row r="37"/>
    <row r="38">
      <c r="A38" s="358" t="inlineStr">
        <is>
          <t>ANALYST PRICE TARGETS</t>
        </is>
      </c>
    </row>
    <row r="39">
      <c r="A39" s="372" t="inlineStr">
        <is>
          <t>Firm</t>
        </is>
      </c>
      <c r="B39" s="372" t="inlineStr">
        <is>
          <t>Price Target</t>
        </is>
      </c>
      <c r="C39" s="372" t="inlineStr">
        <is>
          <t>Rating</t>
        </is>
      </c>
      <c r="D39" s="372" t="inlineStr">
        <is>
          <t>vs Current</t>
        </is>
      </c>
    </row>
    <row r="40" ht="22" customHeight="1">
      <c r="A40" s="386" t="inlineStr">
        <is>
          <t>Goldman Sachs</t>
        </is>
      </c>
      <c r="B40" s="404" t="n">
        <v>232</v>
      </c>
      <c r="C40" s="388" t="inlineStr">
        <is>
          <t>Buy</t>
        </is>
      </c>
      <c r="D40" s="405" t="n">
        <v>0.0892018779342723</v>
      </c>
    </row>
    <row r="41" ht="22" customHeight="1">
      <c r="A41" s="406" t="inlineStr">
        <is>
          <t>Morgan Stanley</t>
        </is>
      </c>
      <c r="B41" s="407" t="n">
        <v>220</v>
      </c>
      <c r="C41" s="408" t="inlineStr">
        <is>
          <t>Equal Weight</t>
        </is>
      </c>
      <c r="D41" s="409" t="n">
        <v>0.03286384976525822</v>
      </c>
    </row>
    <row r="42" ht="22" customHeight="1">
      <c r="A42" s="386" t="inlineStr">
        <is>
          <t>JP Morgan</t>
        </is>
      </c>
      <c r="B42" s="404" t="n">
        <v>245</v>
      </c>
      <c r="C42" s="388" t="inlineStr">
        <is>
          <t>Overweight</t>
        </is>
      </c>
      <c r="D42" s="405" t="n">
        <v>0.1502347417840376</v>
      </c>
    </row>
    <row r="43" ht="22" customHeight="1">
      <c r="A43" s="386" t="inlineStr">
        <is>
          <t>UBS</t>
        </is>
      </c>
      <c r="B43" s="404" t="n">
        <v>236</v>
      </c>
      <c r="C43" s="388" t="inlineStr">
        <is>
          <t>Buy</t>
        </is>
      </c>
      <c r="D43" s="405" t="n">
        <v>0.107981220657277</v>
      </c>
    </row>
    <row r="44" ht="22" customHeight="1">
      <c r="A44" s="406" t="inlineStr">
        <is>
          <t>Citi</t>
        </is>
      </c>
      <c r="B44" s="407" t="n">
        <v>208</v>
      </c>
      <c r="C44" s="408" t="inlineStr">
        <is>
          <t>Neutral</t>
        </is>
      </c>
      <c r="D44" s="410" t="n">
        <v>-0.02347417840375587</v>
      </c>
    </row>
    <row r="45" ht="22" customHeight="1">
      <c r="A45" s="390" t="inlineStr">
        <is>
          <t>Barclays</t>
        </is>
      </c>
      <c r="B45" s="411" t="n">
        <v>195</v>
      </c>
      <c r="C45" s="392" t="inlineStr">
        <is>
          <t>Underweight</t>
        </is>
      </c>
      <c r="D45" s="412" t="n">
        <v>-0.08450704225352113</v>
      </c>
    </row>
    <row r="46"/>
    <row r="47"/>
    <row r="48"/>
    <row r="49"/>
    <row r="50"/>
  </sheetData>
  <mergeCells count="9">
    <mergeCell ref="A6:D6"/>
    <mergeCell ref="A22:D22"/>
    <mergeCell ref="A4:D4"/>
    <mergeCell ref="A3:D3"/>
    <mergeCell ref="A1:L1"/>
    <mergeCell ref="A20:D20"/>
    <mergeCell ref="A30:D30"/>
    <mergeCell ref="A38:D38"/>
    <mergeCell ref="A10:D10"/>
  </mergeCells>
  <pageMargins left="0.75" right="0.75" top="1" bottom="1" header="0.5" footer="0.5"/>
</worksheet>
</file>

<file path=xl/worksheets/sheet57.xml><?xml version="1.0" encoding="utf-8"?>
<worksheet xmlns="http://schemas.openxmlformats.org/spreadsheetml/2006/main">
  <sheetPr>
    <tabColor rgb="000071E3"/>
    <outlinePr summaryBelow="1" summaryRight="1"/>
    <pageSetUpPr/>
  </sheetPr>
  <dimension ref="A1:L50"/>
  <sheetViews>
    <sheetView workbookViewId="0">
      <pane ySplit="2" topLeftCell="A3" activePane="bottomLeft" state="frozen"/>
      <selection pane="bottomLeft" activeCell="A1" sqref="A1"/>
    </sheetView>
  </sheetViews>
  <sheetFormatPr baseColWidth="8" defaultRowHeight="15"/>
  <cols>
    <col width="20" customWidth="1" min="1" max="1"/>
    <col width="16" customWidth="1" min="2" max="2"/>
    <col width="16" customWidth="1" min="3" max="3"/>
    <col width="16" customWidth="1" min="4" max="4"/>
    <col width="14" customWidth="1" min="5" max="5"/>
    <col width="36" customWidth="1" min="6" max="6"/>
  </cols>
  <sheetData>
    <row r="1" ht="32" customHeight="1">
      <c r="A1" s="21" t="inlineStr">
        <is>
          <t xml:space="preserve">  Cross-Company Interaction Model    |    Supplier / customer / competitor / partnership dependencies and contagion risks</t>
        </is>
      </c>
    </row>
    <row r="2"/>
    <row r="3">
      <c r="A3" s="358" t="inlineStr">
        <is>
          <t>KEY DEPENDENCY SUMMARY</t>
        </is>
      </c>
    </row>
    <row r="4">
      <c r="A4" s="359" t="inlineStr">
        <is>
          <t>Customer Revenue Concentration</t>
        </is>
      </c>
      <c r="B4" s="371" t="n">
        <v>0</v>
      </c>
    </row>
    <row r="5">
      <c r="A5" s="359" t="inlineStr">
        <is>
          <t># Known Suppliers</t>
        </is>
      </c>
      <c r="B5" s="413" t="n">
        <v>2</v>
      </c>
    </row>
    <row r="6">
      <c r="A6" s="359" t="inlineStr">
        <is>
          <t># Competitors Tracked</t>
        </is>
      </c>
      <c r="B6" s="413" t="n">
        <v>0</v>
      </c>
    </row>
    <row r="7">
      <c r="A7" s="359" t="inlineStr">
        <is>
          <t># Partnerships</t>
        </is>
      </c>
      <c r="B7" s="413" t="n">
        <v>0</v>
      </c>
    </row>
    <row r="8">
      <c r="A8" s="359" t="inlineStr">
        <is>
          <t>Top Supplier</t>
        </is>
      </c>
      <c r="B8" s="370" t="inlineStr">
        <is>
          <t>TSMC</t>
        </is>
      </c>
    </row>
    <row r="9">
      <c r="A9" s="359" t="inlineStr">
        <is>
          <t>Concentration Risk</t>
        </is>
      </c>
      <c r="B9" s="414" t="inlineStr">
        <is>
          <t>LOW</t>
        </is>
      </c>
    </row>
    <row r="10"/>
    <row r="11">
      <c r="A11" s="358" t="inlineStr">
        <is>
          <t>FULL INTERACTION MAP</t>
        </is>
      </c>
    </row>
    <row r="12">
      <c r="A12" s="372" t="inlineStr">
        <is>
          <t>Counterparty</t>
        </is>
      </c>
      <c r="B12" s="372" t="inlineStr">
        <is>
          <t>Relationship</t>
        </is>
      </c>
      <c r="C12" s="372" t="inlineStr">
        <is>
          <t>Direction</t>
        </is>
      </c>
      <c r="D12" s="372" t="inlineStr">
        <is>
          <t>Rev Dep.</t>
        </is>
      </c>
      <c r="E12" s="372" t="inlineStr">
        <is>
          <t>Rev@Risk $M</t>
        </is>
      </c>
      <c r="F12" s="372" t="inlineStr">
        <is>
          <t>Note</t>
        </is>
      </c>
    </row>
    <row r="13">
      <c r="A13" s="406" t="inlineStr">
        <is>
          <t>TSMC</t>
        </is>
      </c>
      <c r="B13" s="415" t="inlineStr">
        <is>
          <t>SUPPLIER</t>
        </is>
      </c>
      <c r="C13" s="415" t="inlineStr">
        <is>
          <t>OUTGOING</t>
        </is>
      </c>
      <c r="D13" s="416" t="n">
        <v>0.15</v>
      </c>
      <c r="E13" s="417" t="n">
        <v>58655.2</v>
      </c>
    </row>
    <row r="14">
      <c r="A14" s="406" t="inlineStr">
        <is>
          <t>QCOM</t>
        </is>
      </c>
      <c r="B14" s="415" t="inlineStr">
        <is>
          <t>SUPPLIER</t>
        </is>
      </c>
      <c r="C14" s="415" t="inlineStr">
        <is>
          <t>OUTGOING</t>
        </is>
      </c>
      <c r="D14" s="416" t="n">
        <v>0.05</v>
      </c>
      <c r="E14" s="417" t="n">
        <v>19551.8</v>
      </c>
    </row>
    <row r="15"/>
    <row r="16">
      <c r="A16" s="358" t="inlineStr">
        <is>
          <t>CONTAGION RISKS (Revenue Dependency &gt; 5%)</t>
        </is>
      </c>
    </row>
    <row r="17">
      <c r="A17" s="418" t="inlineStr">
        <is>
          <t>Counterparty</t>
        </is>
      </c>
      <c r="B17" s="418" t="inlineStr">
        <is>
          <t>Relationship</t>
        </is>
      </c>
      <c r="C17" s="418" t="inlineStr">
        <is>
          <t>Rev@Risk $M</t>
        </is>
      </c>
      <c r="D17" s="418" t="inlineStr">
        <is>
          <t>PV of Risk $M</t>
        </is>
      </c>
      <c r="E17" s="418" t="inlineStr">
        <is>
          <t>Severity</t>
        </is>
      </c>
    </row>
    <row r="18">
      <c r="A18" t="inlineStr">
        <is>
          <t>TSMC</t>
        </is>
      </c>
      <c r="B18" t="inlineStr">
        <is>
          <t>SUPPLIER</t>
        </is>
      </c>
      <c r="C18" s="419" t="n">
        <v>58655.2</v>
      </c>
      <c r="D18" s="419" t="n">
        <v>1127985.6</v>
      </c>
      <c r="E18" s="420" t="inlineStr">
        <is>
          <t>HIGH</t>
        </is>
      </c>
    </row>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4">
    <mergeCell ref="A3:F3"/>
    <mergeCell ref="A16:F16"/>
    <mergeCell ref="A11:F11"/>
    <mergeCell ref="A1:L1"/>
  </mergeCells>
  <pageMargins left="0.75" right="0.75" top="1" bottom="1" header="0.5" footer="0.5"/>
</worksheet>
</file>

<file path=xl/worksheets/sheet58.xml><?xml version="1.0" encoding="utf-8"?>
<worksheet xmlns="http://schemas.openxmlformats.org/spreadsheetml/2006/main">
  <sheetPr>
    <tabColor rgb="000071E3"/>
    <outlinePr summaryBelow="1" summaryRight="1"/>
    <pageSetUpPr/>
  </sheetPr>
  <dimension ref="A1:L50"/>
  <sheetViews>
    <sheetView workbookViewId="0">
      <pane ySplit="2" topLeftCell="A3" activePane="bottomLeft" state="frozen"/>
      <selection pane="bottomLeft" activeCell="A1" sqref="A1"/>
    </sheetView>
  </sheetViews>
  <sheetFormatPr baseColWidth="8" defaultRowHeight="15"/>
  <cols>
    <col width="30" customWidth="1" min="1" max="1"/>
    <col width="20" customWidth="1" min="2" max="2"/>
    <col width="20" customWidth="1" min="3" max="3"/>
    <col width="36" customWidth="1" min="4" max="4"/>
  </cols>
  <sheetData>
    <row r="1" ht="32" customHeight="1">
      <c r="A1" s="21" t="inlineStr">
        <is>
          <t xml:space="preserve">  Options-Implied Probability Overlay    |    What is the options market pricing for upside / crash scenarios?</t>
        </is>
      </c>
    </row>
    <row r="2"/>
    <row r="3">
      <c r="A3" s="358" t="inlineStr">
        <is>
          <t>OPTIONS MARKET SNAPSHOT</t>
        </is>
      </c>
    </row>
    <row r="4">
      <c r="A4" s="359" t="inlineStr">
        <is>
          <t>Ticker</t>
        </is>
      </c>
      <c r="B4" s="370" t="inlineStr">
        <is>
          <t>AAPL</t>
        </is>
      </c>
    </row>
    <row r="5">
      <c r="A5" s="359" t="inlineStr">
        <is>
          <t>Options Expiry Used</t>
        </is>
      </c>
      <c r="B5" s="370" t="inlineStr">
        <is>
          <t>~6-month est.</t>
        </is>
      </c>
    </row>
    <row r="6">
      <c r="A6" s="359" t="inlineStr">
        <is>
          <t>Time to Expiry (years)</t>
        </is>
      </c>
      <c r="B6" s="421" t="n">
        <v>0.5</v>
      </c>
    </row>
    <row r="7">
      <c r="A7" s="359" t="inlineStr">
        <is>
          <t>Current Price</t>
        </is>
      </c>
      <c r="B7" s="422" t="n">
        <v>213</v>
      </c>
    </row>
    <row r="8">
      <c r="A8" s="359" t="inlineStr">
        <is>
          <t>ATM Implied Volatility</t>
        </is>
      </c>
      <c r="B8" s="360" t="n">
        <v>0.26</v>
      </c>
    </row>
    <row r="9">
      <c r="A9" s="359" t="inlineStr">
        <is>
          <t>OTM Put IV (80% strike)</t>
        </is>
      </c>
      <c r="B9" s="360" t="n">
        <v>0.312</v>
      </c>
    </row>
    <row r="10">
      <c r="A10" s="359" t="inlineStr">
        <is>
          <t>Put Skew (OTM − ATM)</t>
        </is>
      </c>
      <c r="B10" s="362" t="n">
        <v>0.052</v>
      </c>
    </row>
    <row r="11"/>
    <row r="12">
      <c r="A12" s="358" t="inlineStr">
        <is>
          <t>MARKET-IMPLIED PROBABILITIES</t>
        </is>
      </c>
    </row>
    <row r="13">
      <c r="A13" s="423" t="inlineStr">
        <is>
          <t>Scenario</t>
        </is>
      </c>
      <c r="B13" s="423" t="inlineStr">
        <is>
          <t>Probability</t>
        </is>
      </c>
      <c r="C13" s="423" t="inlineStr"/>
      <c r="D13" s="423" t="inlineStr">
        <is>
          <t>Note</t>
        </is>
      </c>
    </row>
    <row r="14">
      <c r="A14" s="379" t="inlineStr">
        <is>
          <t>P(Price &gt; Current in 1yr)</t>
        </is>
      </c>
      <c r="B14" s="360" t="n">
        <v>0.5121</v>
      </c>
      <c r="D14" s="361" t="inlineStr">
        <is>
          <t>Options market's risk-neutral probability of upside</t>
        </is>
      </c>
    </row>
    <row r="15">
      <c r="A15" s="379" t="inlineStr">
        <is>
          <t>P(Price &lt; 80% of Current)</t>
        </is>
      </c>
      <c r="B15" s="360" t="n">
        <v>0.1579</v>
      </c>
      <c r="D15" s="361" t="inlineStr">
        <is>
          <t>Probability of &gt;20% drawdown priced in options</t>
        </is>
      </c>
    </row>
    <row r="16">
      <c r="A16" s="379" t="inlineStr">
        <is>
          <t>P(Price &lt; 50% of Current)</t>
        </is>
      </c>
      <c r="B16" s="360" t="n">
        <v>0.009299999999999999</v>
      </c>
      <c r="D16" s="361" t="inlineStr">
        <is>
          <t>Crash probability via skew extrapolation</t>
        </is>
      </c>
    </row>
    <row r="17"/>
    <row r="18">
      <c r="A18" s="358" t="inlineStr">
        <is>
          <t>SIGNAL</t>
        </is>
      </c>
    </row>
    <row r="19">
      <c r="A19" s="424" t="inlineStr">
        <is>
          <t>NEUTRAL — Balanced risk (sector IV estimate)</t>
        </is>
      </c>
    </row>
    <row r="20"/>
    <row r="21">
      <c r="A21" s="361" t="inlineStr">
        <is>
          <t>Methodology: Black-Scholes delta as risk-neutral probability. Put skew captures tail demand. Approx only — not a trading signal.</t>
        </is>
      </c>
    </row>
    <row r="22"/>
    <row r="23"/>
    <row r="24"/>
    <row r="25"/>
    <row r="26"/>
    <row r="27"/>
    <row r="28"/>
    <row r="29"/>
    <row r="30"/>
    <row r="31"/>
    <row r="32"/>
    <row r="33"/>
    <row r="34"/>
    <row r="35"/>
    <row r="36"/>
    <row r="37"/>
    <row r="38"/>
    <row r="39"/>
    <row r="40"/>
    <row r="41"/>
    <row r="42"/>
    <row r="43"/>
    <row r="44"/>
    <row r="45"/>
    <row r="46"/>
    <row r="47"/>
    <row r="48"/>
    <row r="49"/>
    <row r="50"/>
  </sheetData>
  <mergeCells count="6">
    <mergeCell ref="A18:D18"/>
    <mergeCell ref="A12:D12"/>
    <mergeCell ref="A3:D3"/>
    <mergeCell ref="A1:L1"/>
    <mergeCell ref="A21:D21"/>
    <mergeCell ref="A19:D19"/>
  </mergeCells>
  <pageMargins left="0.75" right="0.75" top="1" bottom="1" header="0.5" footer="0.5"/>
</worksheet>
</file>

<file path=xl/worksheets/sheet59.xml><?xml version="1.0" encoding="utf-8"?>
<worksheet xmlns="http://schemas.openxmlformats.org/spreadsheetml/2006/main">
  <sheetPr>
    <tabColor rgb="000071E3"/>
    <outlinePr summaryBelow="1" summaryRight="1"/>
    <pageSetUpPr/>
  </sheetPr>
  <dimension ref="A1:L50"/>
  <sheetViews>
    <sheetView workbookViewId="0">
      <pane ySplit="2" topLeftCell="A3" activePane="bottomLeft" state="frozen"/>
      <selection pane="bottomLeft" activeCell="A1" sqref="A1"/>
    </sheetView>
  </sheetViews>
  <sheetFormatPr baseColWidth="8" defaultRowHeight="15"/>
  <cols>
    <col width="30" customWidth="1" min="1" max="1"/>
    <col width="14" customWidth="1" min="2" max="2"/>
    <col width="14" customWidth="1" min="3" max="3"/>
    <col width="12" customWidth="1" min="4" max="4"/>
    <col width="12" customWidth="1" min="5" max="5"/>
    <col width="14" customWidth="1" min="6" max="6"/>
    <col width="40" customWidth="1" min="7" max="7"/>
  </cols>
  <sheetData>
    <row r="1" ht="32" customHeight="1">
      <c r="A1" s="21" t="inlineStr">
        <is>
          <t xml:space="preserve">  Regime Change Modeling    |    Structural break scenarios — not parameter tweaks, but fundamental business disruptions</t>
        </is>
      </c>
    </row>
    <row r="2"/>
    <row r="3">
      <c r="A3" s="358" t="inlineStr">
        <is>
          <t>SCENARIO IMPACT MATRIX</t>
        </is>
      </c>
    </row>
    <row r="4">
      <c r="A4" s="372" t="inlineStr">
        <is>
          <t>Regime</t>
        </is>
      </c>
      <c r="B4" s="372" t="inlineStr">
        <is>
          <t>Per Share</t>
        </is>
      </c>
      <c r="C4" s="372" t="inlineStr">
        <is>
          <t>vs Base</t>
        </is>
      </c>
      <c r="D4" s="372" t="inlineStr">
        <is>
          <t>Adj WACC</t>
        </is>
      </c>
      <c r="E4" s="372" t="inlineStr">
        <is>
          <t>Adj Margin</t>
        </is>
      </c>
      <c r="F4" s="372" t="inlineStr">
        <is>
          <t>Severity</t>
        </is>
      </c>
      <c r="G4" s="372" t="inlineStr">
        <is>
          <t>Description</t>
        </is>
      </c>
    </row>
    <row r="5" ht="36" customHeight="1">
      <c r="A5" s="425" t="inlineStr">
        <is>
          <t>AI Disruption of Core Business</t>
        </is>
      </c>
      <c r="B5" s="426" t="n">
        <v>26.21</v>
      </c>
      <c r="C5" s="427" t="n">
        <v>-0.8769</v>
      </c>
      <c r="D5" s="428" t="n">
        <v>0.092</v>
      </c>
      <c r="E5" s="428" t="n">
        <v>0.215</v>
      </c>
      <c r="F5" s="429" t="inlineStr">
        <is>
          <t>CATASTROPHIC</t>
        </is>
      </c>
      <c r="G5" s="381" t="inlineStr">
        <is>
          <t>AI competitor commoditizes core product. Company must restructure to remain relevant.</t>
        </is>
      </c>
    </row>
    <row r="6" ht="36" customHeight="1">
      <c r="A6" s="425" t="inlineStr">
        <is>
          <t>Antitrust Forced Breakup</t>
        </is>
      </c>
      <c r="B6" s="426" t="n">
        <v>34.98</v>
      </c>
      <c r="C6" s="427" t="n">
        <v>-0.8358</v>
      </c>
      <c r="D6" s="428" t="n">
        <v>0.097</v>
      </c>
      <c r="E6" s="428" t="n">
        <v>0.325</v>
      </c>
      <c r="F6" s="429" t="inlineStr">
        <is>
          <t>CATASTROPHIC</t>
        </is>
      </c>
      <c r="G6" s="381" t="inlineStr">
        <is>
          <t>Regulators force divestiture of a core business unit. Revenue and margins restructured around remaining entity.</t>
        </is>
      </c>
    </row>
    <row r="7" ht="36" customHeight="1">
      <c r="A7" s="425" t="inlineStr">
        <is>
          <t>Taiwan Strait / Supply Chain Disruption</t>
        </is>
      </c>
      <c r="B7" s="426" t="n">
        <v>36.62</v>
      </c>
      <c r="C7" s="427" t="n">
        <v>-0.8280999999999999</v>
      </c>
      <c r="D7" s="428" t="n">
        <v>0.102</v>
      </c>
      <c r="E7" s="428" t="n">
        <v>0.245</v>
      </c>
      <c r="F7" s="429" t="inlineStr">
        <is>
          <t>CATASTROPHIC</t>
        </is>
      </c>
      <c r="G7" s="381" t="inlineStr">
        <is>
          <t>Major geopolitical event disrupts semiconductor/hardware supply. Revenue and margins compressed during 2-year normalization.</t>
        </is>
      </c>
    </row>
    <row r="8" ht="36" customHeight="1">
      <c r="A8" s="425" t="inlineStr">
        <is>
          <t>Fed Rate Shock (+300bps)</t>
        </is>
      </c>
      <c r="B8" s="426" t="n">
        <v>41.9</v>
      </c>
      <c r="C8" s="427" t="n">
        <v>-0.8033</v>
      </c>
      <c r="D8" s="428" t="n">
        <v>0.112</v>
      </c>
      <c r="E8" s="428" t="n">
        <v>0.275</v>
      </c>
      <c r="F8" s="429" t="inlineStr">
        <is>
          <t>CATASTROPHIC</t>
        </is>
      </c>
      <c r="G8" s="381" t="inlineStr">
        <is>
          <t>Fed hikes 300bps unexpectedly. DCF heavily penalized through WACC expansion and multiple compression.</t>
        </is>
      </c>
    </row>
    <row r="9" ht="36" customHeight="1">
      <c r="A9" s="430" t="inlineStr">
        <is>
          <t>Platform Winner-Take-All Scenario</t>
        </is>
      </c>
      <c r="B9" s="431" t="n">
        <v>359.19</v>
      </c>
      <c r="C9" s="432" t="n">
        <v>0.6863</v>
      </c>
      <c r="D9" s="433" t="n">
        <v>0.07199999999999999</v>
      </c>
      <c r="E9" s="433" t="n">
        <v>0.375</v>
      </c>
      <c r="F9" s="434" t="inlineStr">
        <is>
          <t>POSITIVE</t>
        </is>
      </c>
      <c r="G9" s="381" t="inlineStr">
        <is>
          <t>Company achieves dominant platform position. Competitors marginalized, take rate expands, margins inflect.</t>
        </is>
      </c>
    </row>
    <row r="10"/>
    <row r="11">
      <c r="A11" s="359" t="inlineStr">
        <is>
          <t>Current Price</t>
        </is>
      </c>
      <c r="B11" s="435" t="n">
        <v>213</v>
      </c>
    </row>
    <row r="12"/>
    <row r="13" ht="36" customHeight="1">
      <c r="A13" s="361" t="inlineStr">
        <is>
          <t>Regimes model structural breaks, not parameter changes. Multiple regimes can overlap (e.g. rate shock + AI disruption). Add bespoke regimes by extending _REGIME_TEMPLATES in val_core.py.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3">
    <mergeCell ref="A13:G13"/>
    <mergeCell ref="A3:G3"/>
    <mergeCell ref="A1:L1"/>
  </mergeCells>
  <pageMargins left="0.75" right="0.75" top="1" bottom="1" header="0.5" footer="0.5"/>
</worksheet>
</file>

<file path=xl/worksheets/sheet60.xml><?xml version="1.0" encoding="utf-8"?>
<worksheet xmlns="http://schemas.openxmlformats.org/spreadsheetml/2006/main">
  <sheetPr>
    <tabColor rgb="000071E3"/>
    <outlinePr summaryBelow="1" summaryRight="1"/>
    <pageSetUpPr fitToPage="1"/>
  </sheetPr>
  <dimension ref="A1:S50"/>
  <sheetViews>
    <sheetView workbookViewId="0">
      <selection activeCell="A1" sqref="A1"/>
    </sheetView>
  </sheetViews>
  <sheetFormatPr baseColWidth="8" defaultRowHeight="15"/>
  <cols>
    <col width="28" customWidth="1" min="1" max="1"/>
    <col width="16" customWidth="1" min="2" max="2"/>
    <col width="16" customWidth="1" min="3" max="3"/>
    <col width="16" customWidth="1" min="4" max="4"/>
    <col width="16" customWidth="1" min="5" max="5"/>
    <col width="14" customWidth="1" min="6" max="6"/>
  </cols>
  <sheetData>
    <row r="1" ht="32" customHeight="1">
      <c r="A1" s="21" t="inlineStr">
        <is>
          <t xml:space="preserve">  Platform &amp; Network Effects Valuation    |    Metcalfe Value  |  Take Rate Expansion DCF  |  Winner-Take-All Scenario</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THREE-LENS PLATFORM VALUATION vs STANDARD DCF</t>
        </is>
      </c>
    </row>
    <row r="6">
      <c r="A6" s="23" t="inlineStr">
        <is>
          <t>Valuation Method</t>
        </is>
      </c>
      <c r="B6" s="23" t="inlineStr">
        <is>
          <t>Per-Share Value</t>
        </is>
      </c>
      <c r="C6" s="23" t="inlineStr">
        <is>
          <t>vs Standard DCF</t>
        </is>
      </c>
      <c r="D6" s="23" t="inlineStr">
        <is>
          <t>EV ($M)</t>
        </is>
      </c>
      <c r="E6" s="23" t="inlineStr">
        <is>
          <t>Premium</t>
        </is>
      </c>
      <c r="F6" s="23" t="inlineStr">
        <is>
          <t>Key Driver</t>
        </is>
      </c>
    </row>
    <row r="7">
      <c r="A7" s="354" t="inlineStr">
        <is>
          <t>Standard DCF (GS approach)</t>
        </is>
      </c>
      <c r="B7" s="436" t="inlineStr">
        <is>
          <t>$162</t>
        </is>
      </c>
      <c r="C7" s="437" t="inlineStr">
        <is>
          <t>Baseline</t>
        </is>
      </c>
      <c r="D7" s="354" t="inlineStr">
        <is>
          <t>$2,455,560M</t>
        </is>
      </c>
      <c r="E7" s="437" t="inlineStr">
        <is>
          <t>—</t>
        </is>
      </c>
      <c r="F7" s="437" t="inlineStr">
        <is>
          <t>Linear margin extrapolation — misses platform dynamics</t>
        </is>
      </c>
    </row>
    <row r="8">
      <c r="A8" s="348" t="inlineStr">
        <is>
          <t>Metcalfe Network Value</t>
        </is>
      </c>
      <c r="B8" s="352" t="inlineStr">
        <is>
          <t>$7,444</t>
        </is>
      </c>
      <c r="C8" s="352" t="inlineStr">
        <is>
          <t>+4501%</t>
        </is>
      </c>
      <c r="D8" s="348" t="inlineStr">
        <is>
          <t>$110,030,884M</t>
        </is>
      </c>
      <c r="E8" s="29" t="inlineStr">
        <is>
          <t>+13%</t>
        </is>
      </c>
      <c r="F8" s="29" t="inlineStr">
        <is>
          <t>Network effect alpha=0.8 — value ∝ n^α</t>
        </is>
      </c>
    </row>
    <row r="9">
      <c r="A9" s="438" t="inlineStr">
        <is>
          <t>Take Rate Expansion DCF</t>
        </is>
      </c>
      <c r="B9" s="439" t="inlineStr">
        <is>
          <t>$1</t>
        </is>
      </c>
      <c r="C9" s="439" t="inlineStr">
        <is>
          <t>-99%</t>
        </is>
      </c>
      <c r="D9" s="438" t="inlineStr">
        <is>
          <t>$83,739M</t>
        </is>
      </c>
      <c r="E9" s="26" t="inlineStr">
        <is>
          <t>+13%</t>
        </is>
      </c>
      <c r="F9" s="26" t="inlineStr">
        <is>
          <t>100.0% → 80.0% take rate</t>
        </is>
      </c>
    </row>
    <row r="10">
      <c r="A10" s="348" t="inlineStr">
        <is>
          <t>Winner-Take-All DCF</t>
        </is>
      </c>
      <c r="B10" s="440" t="inlineStr">
        <is>
          <t>$182</t>
        </is>
      </c>
      <c r="C10" s="352" t="inlineStr">
        <is>
          <t>+13%</t>
        </is>
      </c>
      <c r="D10" s="348" t="inlineStr">
        <is>
          <t>$2,761,487M</t>
        </is>
      </c>
      <c r="E10" s="29" t="inlineStr">
        <is>
          <t>+13%</t>
        </is>
      </c>
      <c r="F10" s="29" t="inlineStr">
        <is>
          <t>50% → 35% market share</t>
        </is>
      </c>
    </row>
    <row r="11"/>
    <row r="12">
      <c r="A12" s="353" t="inlineStr">
        <is>
          <t xml:space="preserve">  2 — PLATFORM PROFILE</t>
        </is>
      </c>
    </row>
    <row r="13">
      <c r="A13" s="354" t="inlineStr">
        <is>
          <t xml:space="preserve">  Platform type</t>
        </is>
      </c>
      <c r="B13" s="355" t="inlineStr">
        <is>
          <t>SaaS/Cloud</t>
        </is>
      </c>
    </row>
    <row r="14">
      <c r="A14" s="354" t="inlineStr">
        <is>
          <t xml:space="preserve">  Network effect strength</t>
        </is>
      </c>
      <c r="B14" s="355" t="inlineStr">
        <is>
          <t>Weak  (alpha=0.8)</t>
        </is>
      </c>
    </row>
    <row r="15">
      <c r="A15" s="354" t="inlineStr">
        <is>
          <t xml:space="preserve">  Current take rate</t>
        </is>
      </c>
      <c r="B15" s="355" t="inlineStr">
        <is>
          <t>100.00%</t>
        </is>
      </c>
    </row>
    <row r="16">
      <c r="A16" s="354" t="inlineStr">
        <is>
          <t xml:space="preserve">  Mature take rate</t>
        </is>
      </c>
      <c r="B16" s="355" t="inlineStr">
        <is>
          <t>80.00%</t>
        </is>
      </c>
    </row>
    <row r="17">
      <c r="A17" s="354" t="inlineStr">
        <is>
          <t xml:space="preserve">  Current market share</t>
        </is>
      </c>
      <c r="B17" s="355" t="inlineStr">
        <is>
          <t>50.0%</t>
        </is>
      </c>
    </row>
    <row r="18">
      <c r="A18" s="354" t="inlineStr">
        <is>
          <t xml:space="preserve">  Target market share</t>
        </is>
      </c>
      <c r="B18" s="355" t="inlineStr">
        <is>
          <t>35.0%</t>
        </is>
      </c>
    </row>
    <row r="19">
      <c r="A19" s="354" t="inlineStr">
        <is>
          <t xml:space="preserve">  Implied GMV</t>
        </is>
      </c>
      <c r="B19" s="355" t="inlineStr">
        <is>
          <t>$391.0B</t>
        </is>
      </c>
    </row>
    <row r="20">
      <c r="A20" s="354" t="inlineStr">
        <is>
          <t xml:space="preserve">  Implied TAM</t>
        </is>
      </c>
      <c r="B20" s="355" t="inlineStr">
        <is>
          <t>$782.1B</t>
        </is>
      </c>
    </row>
    <row r="21"/>
    <row r="22">
      <c r="A22" s="314" t="inlineStr">
        <is>
          <t xml:space="preserve">  3 — HOW PLATFORM VALUE EXCEEDS GS STANDARD APPROACH</t>
        </is>
      </c>
    </row>
    <row r="23">
      <c r="A23" s="354" t="inlineStr">
        <is>
          <t xml:space="preserve">  Metcalfe's Law</t>
        </is>
      </c>
      <c r="B23" s="357" t="inlineStr">
        <is>
          <t>Network value grows as n^alpha, not linearly. A 2x user base on a strong-network platform = 2^1.5 = 2.8x value.</t>
        </is>
      </c>
    </row>
    <row r="24">
      <c r="A24" s="354" t="inlineStr">
        <is>
          <t xml:space="preserve">  Take rate expansion</t>
        </is>
      </c>
      <c r="B24" s="357" t="inlineStr">
        <is>
          <t>Mature marketplaces (Airbnb, Uber, Amazon) have expanded take rates from 3-5% to 15-30% as they became the dominant platform.</t>
        </is>
      </c>
    </row>
    <row r="25">
      <c r="A25" s="354" t="inlineStr">
        <is>
          <t xml:space="preserve">  Winner-take-all</t>
        </is>
      </c>
      <c r="B25" s="357" t="inlineStr">
        <is>
          <t>In winner-take-all markets, the leader's market share grows faster than the market — compounding revenue even as TAM grows slowly.</t>
        </is>
      </c>
    </row>
    <row r="26">
      <c r="A26" s="354" t="inlineStr">
        <is>
          <t xml:space="preserve">  GS blind spot</t>
        </is>
      </c>
      <c r="B26" s="357" t="inlineStr">
        <is>
          <t>GS DCF assumes constant margins and current market share forever. For platforms, both assumptions are structurally wrong.</t>
        </is>
      </c>
    </row>
    <row r="27">
      <c r="A27" s="354" t="inlineStr">
        <is>
          <t xml:space="preserve">  When NOT to use</t>
        </is>
      </c>
      <c r="B27" s="357" t="inlineStr">
        <is>
          <t>Non-platform businesses (manufacturing, retail) — use standard DCF. This module is for marketplace/SaaS/social only.</t>
        </is>
      </c>
    </row>
    <row r="28">
      <c r="A28" s="354" t="inlineStr">
        <is>
          <t xml:space="preserve">  Blending approach</t>
        </is>
      </c>
      <c r="B28" s="357" t="inlineStr">
        <is>
          <t>Weight platform value 30-50% alongside standard DCF for platform companies. 100% for pure marketplaces.</t>
        </is>
      </c>
    </row>
    <row r="29"/>
    <row r="30"/>
    <row r="31"/>
    <row r="32"/>
    <row r="33"/>
    <row r="34"/>
    <row r="35"/>
    <row r="36"/>
    <row r="37"/>
    <row r="38"/>
    <row r="39"/>
    <row r="40"/>
    <row r="41"/>
    <row r="42"/>
    <row r="43"/>
    <row r="44"/>
    <row r="45"/>
    <row r="46"/>
    <row r="47"/>
    <row r="48"/>
    <row r="49"/>
    <row r="50"/>
  </sheetData>
  <sheetProtection selectLockedCells="0" selectUnlockedCells="0" sheet="1" objects="0" insertRows="0" insertHyperlinks="1" autoFilter="1" scenarios="0" formatColumns="1" deleteColumns="1" insertColumns="1" pivotTables="1" deleteRows="0" formatCells="0" formatRows="1" sort="1"/>
  <mergeCells count="18">
    <mergeCell ref="B27:F27"/>
    <mergeCell ref="B24:F24"/>
    <mergeCell ref="B16:F16"/>
    <mergeCell ref="B20:F20"/>
    <mergeCell ref="B15:F15"/>
    <mergeCell ref="B26:F26"/>
    <mergeCell ref="A5:F5"/>
    <mergeCell ref="A1:L1"/>
    <mergeCell ref="B25:F25"/>
    <mergeCell ref="B19:F19"/>
    <mergeCell ref="B28:F28"/>
    <mergeCell ref="A22:F22"/>
    <mergeCell ref="B23:F23"/>
    <mergeCell ref="A12:F12"/>
    <mergeCell ref="B14:F14"/>
    <mergeCell ref="B17:F17"/>
    <mergeCell ref="B18:F18"/>
    <mergeCell ref="B13:F13"/>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61.xml><?xml version="1.0" encoding="utf-8"?>
<worksheet xmlns="http://schemas.openxmlformats.org/spreadsheetml/2006/main">
  <sheetPr>
    <tabColor rgb="000071E3"/>
    <outlinePr summaryBelow="1" summaryRight="1"/>
    <pageSetUpPr fitToPage="1"/>
  </sheetPr>
  <dimension ref="A1:S57"/>
  <sheetViews>
    <sheetView workbookViewId="0">
      <selection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s>
  <sheetData>
    <row r="1" ht="32" customHeight="1">
      <c r="A1" s="21" t="inlineStr">
        <is>
          <t xml:space="preserve">  Fat-Tail Monte Carlo  (Student's t + Regime Switching)    |    10,000 Simulations  |  Growth &amp; Distress Regimes  |  Real Tail Probabilities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KEY RISK METRICS  (Unavailable in Standard GS Gaussian MC)</t>
        </is>
      </c>
    </row>
    <row r="6">
      <c r="A6" s="441" t="inlineStr">
        <is>
          <t>Bankruptcy Probability</t>
        </is>
      </c>
      <c r="B6" s="442" t="inlineStr">
        <is>
          <t>6.4%</t>
        </is>
      </c>
      <c r="C6" s="443" t="inlineStr">
        <is>
          <t>Median Per-Share Value</t>
        </is>
      </c>
      <c r="D6" s="444" t="inlineStr">
        <is>
          <t>$121</t>
        </is>
      </c>
      <c r="E6" s="445" t="inlineStr">
        <is>
          <t>10x Probability</t>
        </is>
      </c>
      <c r="F6" s="446" t="inlineStr">
        <is>
          <t>0.4%</t>
        </is>
      </c>
    </row>
    <row r="7"/>
    <row r="8">
      <c r="A8" s="353" t="inlineStr">
        <is>
          <t xml:space="preserve">  2 — FULL PERCENTILE DISTRIBUTION  (Per-Share Equity Value)</t>
        </is>
      </c>
    </row>
    <row r="9">
      <c r="A9" s="23" t="inlineStr">
        <is>
          <t>Percentile</t>
        </is>
      </c>
      <c r="B9" s="23" t="inlineStr">
        <is>
          <t>Per-Share Value</t>
        </is>
      </c>
      <c r="C9" s="23" t="inlineStr">
        <is>
          <t>vs Current Price</t>
        </is>
      </c>
      <c r="D9" s="23" t="inlineStr">
        <is>
          <t>Interpretation</t>
        </is>
      </c>
      <c r="E9" s="23" t="inlineStr"/>
      <c r="F9" s="23" t="inlineStr"/>
      <c r="G9" s="23" t="inlineStr"/>
    </row>
    <row r="10">
      <c r="A10" s="348" t="inlineStr">
        <is>
          <t>P1  — Extreme bear</t>
        </is>
      </c>
      <c r="B10" s="440" t="inlineStr">
        <is>
          <t>$-34</t>
        </is>
      </c>
      <c r="C10" s="440" t="inlineStr">
        <is>
          <t>-116%</t>
        </is>
      </c>
      <c r="D10" s="29" t="inlineStr">
        <is>
          <t>Bottom 1% outcome — near-total loss</t>
        </is>
      </c>
      <c r="E10" s="218" t="n"/>
      <c r="F10" s="218" t="n"/>
      <c r="G10" s="218" t="n"/>
    </row>
    <row r="11">
      <c r="A11" s="438" t="inlineStr">
        <is>
          <t>P5  — Severe bear</t>
        </is>
      </c>
      <c r="B11" s="439" t="inlineStr">
        <is>
          <t>$-3</t>
        </is>
      </c>
      <c r="C11" s="439" t="inlineStr">
        <is>
          <t>-102%</t>
        </is>
      </c>
      <c r="D11" s="26" t="inlineStr">
        <is>
          <t>Severe but survivable downside</t>
        </is>
      </c>
      <c r="E11" s="218" t="n"/>
      <c r="F11" s="218" t="n"/>
      <c r="G11" s="218" t="n"/>
    </row>
    <row r="12">
      <c r="A12" s="348" t="inlineStr">
        <is>
          <t>P10 — Bear</t>
        </is>
      </c>
      <c r="B12" s="440" t="inlineStr">
        <is>
          <t>$7</t>
        </is>
      </c>
      <c r="C12" s="440" t="inlineStr">
        <is>
          <t>-97%</t>
        </is>
      </c>
      <c r="D12" s="29" t="inlineStr">
        <is>
          <t>Bear scenario</t>
        </is>
      </c>
      <c r="E12" s="218" t="n"/>
      <c r="F12" s="218" t="n"/>
      <c r="G12" s="218" t="n"/>
    </row>
    <row r="13">
      <c r="A13" s="438" t="inlineStr">
        <is>
          <t>P25 — Mild bear</t>
        </is>
      </c>
      <c r="B13" s="439" t="inlineStr">
        <is>
          <t>$27</t>
        </is>
      </c>
      <c r="C13" s="439" t="inlineStr">
        <is>
          <t>-87%</t>
        </is>
      </c>
      <c r="D13" s="26" t="inlineStr">
        <is>
          <t>25th percentile — below median</t>
        </is>
      </c>
      <c r="E13" s="218" t="n"/>
      <c r="F13" s="218" t="n"/>
      <c r="G13" s="218" t="n"/>
    </row>
    <row r="14">
      <c r="A14" s="354" t="inlineStr">
        <is>
          <t>P50 — Median</t>
        </is>
      </c>
      <c r="B14" s="354" t="inlineStr">
        <is>
          <t>$121</t>
        </is>
      </c>
      <c r="C14" s="354" t="inlineStr">
        <is>
          <t>-43%</t>
        </is>
      </c>
      <c r="D14" s="354" t="inlineStr">
        <is>
          <t>Central estimate — 50/50 outcome</t>
        </is>
      </c>
      <c r="E14" s="218" t="n"/>
      <c r="F14" s="218" t="n"/>
      <c r="G14" s="218" t="n"/>
    </row>
    <row r="15">
      <c r="A15" s="438" t="inlineStr">
        <is>
          <t>P75 — Mild bull</t>
        </is>
      </c>
      <c r="B15" s="439" t="inlineStr">
        <is>
          <t>$183</t>
        </is>
      </c>
      <c r="C15" s="439" t="inlineStr">
        <is>
          <t>-14%</t>
        </is>
      </c>
      <c r="D15" s="26" t="inlineStr">
        <is>
          <t>75th percentile — above median</t>
        </is>
      </c>
      <c r="E15" s="218" t="n"/>
      <c r="F15" s="218" t="n"/>
      <c r="G15" s="218" t="n"/>
    </row>
    <row r="16">
      <c r="A16" s="348" t="inlineStr">
        <is>
          <t>P90 — Bull</t>
        </is>
      </c>
      <c r="B16" s="352" t="inlineStr">
        <is>
          <t>$259</t>
        </is>
      </c>
      <c r="C16" s="352" t="inlineStr">
        <is>
          <t>+21%</t>
        </is>
      </c>
      <c r="D16" s="29" t="inlineStr">
        <is>
          <t>Bull scenario</t>
        </is>
      </c>
      <c r="E16" s="218" t="n"/>
      <c r="F16" s="218" t="n"/>
      <c r="G16" s="218" t="n"/>
    </row>
    <row r="17">
      <c r="A17" s="438" t="inlineStr">
        <is>
          <t>P95 — Strong bull</t>
        </is>
      </c>
      <c r="B17" s="447" t="inlineStr">
        <is>
          <t>$340</t>
        </is>
      </c>
      <c r="C17" s="447" t="inlineStr">
        <is>
          <t>+60%</t>
        </is>
      </c>
      <c r="D17" s="26" t="inlineStr">
        <is>
          <t>Strong bull — top 5% outcome</t>
        </is>
      </c>
      <c r="E17" s="218" t="n"/>
      <c r="F17" s="218" t="n"/>
      <c r="G17" s="218" t="n"/>
    </row>
    <row r="18">
      <c r="A18" s="348" t="inlineStr">
        <is>
          <t>P99 — Extreme bull</t>
        </is>
      </c>
      <c r="B18" s="352" t="inlineStr">
        <is>
          <t>$739</t>
        </is>
      </c>
      <c r="C18" s="352" t="inlineStr">
        <is>
          <t>+247%</t>
        </is>
      </c>
      <c r="D18" s="29" t="inlineStr">
        <is>
          <t>Top 1% — potential 10x scenario</t>
        </is>
      </c>
      <c r="E18" s="218" t="n"/>
      <c r="F18" s="218" t="n"/>
      <c r="G18" s="218" t="n"/>
    </row>
    <row r="19">
      <c r="A19" s="438" t="inlineStr">
        <is>
          <t>Mean (probability-wt)</t>
        </is>
      </c>
      <c r="B19" s="439" t="inlineStr">
        <is>
          <t>$138</t>
        </is>
      </c>
      <c r="C19" s="439" t="inlineStr">
        <is>
          <t>-35%</t>
        </is>
      </c>
      <c r="D19" s="26" t="inlineStr">
        <is>
          <t>Expected value across all simulations</t>
        </is>
      </c>
      <c r="E19" s="218" t="n"/>
      <c r="F19" s="218" t="n"/>
      <c r="G19" s="218" t="n"/>
    </row>
    <row r="20"/>
    <row r="21">
      <c r="A21" s="314" t="inlineStr">
        <is>
          <t xml:space="preserve">  3 — REGIME ANALYSIS  (Growth vs Distress Regime Outcomes)</t>
        </is>
      </c>
    </row>
    <row r="22">
      <c r="A22" s="354" t="inlineStr">
        <is>
          <t xml:space="preserve">  Distribution model</t>
        </is>
      </c>
      <c r="B22" s="357" t="inlineStr">
        <is>
          <t>Student's t (df=5 growth, df=3 distress) + Regime switching</t>
        </is>
      </c>
      <c r="C22" s="218" t="n"/>
      <c r="D22" s="218" t="n"/>
      <c r="E22" s="218" t="n"/>
      <c r="F22" s="218" t="n"/>
      <c r="G22" s="218" t="n"/>
    </row>
    <row r="23">
      <c r="A23" s="354" t="inlineStr">
        <is>
          <t xml:space="preserve">  Simulations run</t>
        </is>
      </c>
      <c r="B23" s="357" t="inlineStr">
        <is>
          <t>10,000</t>
        </is>
      </c>
      <c r="C23" s="218" t="n"/>
      <c r="D23" s="218" t="n"/>
      <c r="E23" s="218" t="n"/>
      <c r="F23" s="218" t="n"/>
      <c r="G23" s="218" t="n"/>
    </row>
    <row r="24">
      <c r="A24" s="354" t="inlineStr">
        <is>
          <t xml:space="preserve">  Growth regime runs</t>
        </is>
      </c>
      <c r="B24" s="357" t="inlineStr">
        <is>
          <t>6,099</t>
        </is>
      </c>
      <c r="C24" s="218" t="n"/>
      <c r="D24" s="218" t="n"/>
      <c r="E24" s="218" t="n"/>
      <c r="F24" s="218" t="n"/>
      <c r="G24" s="218" t="n"/>
    </row>
    <row r="25">
      <c r="A25" s="354" t="inlineStr">
        <is>
          <t xml:space="preserve">  Distress regime runs</t>
        </is>
      </c>
      <c r="B25" s="357" t="inlineStr">
        <is>
          <t>3,901</t>
        </is>
      </c>
      <c r="C25" s="218" t="n"/>
      <c r="D25" s="218" t="n"/>
      <c r="E25" s="218" t="n"/>
      <c r="F25" s="218" t="n"/>
      <c r="G25" s="218" t="n"/>
    </row>
    <row r="26">
      <c r="A26" s="354" t="inlineStr">
        <is>
          <t xml:space="preserve">  Regime note</t>
        </is>
      </c>
      <c r="B26" s="357" t="inlineStr">
        <is>
          <t>Growth regime: 6,099 runs (61%)  |  Distress regime: 3,901 runs (39%)</t>
        </is>
      </c>
      <c r="C26" s="218" t="n"/>
      <c r="D26" s="218" t="n"/>
      <c r="E26" s="218" t="n"/>
      <c r="F26" s="218" t="n"/>
      <c r="G26" s="218" t="n"/>
    </row>
    <row r="27"/>
    <row r="28">
      <c r="A28" s="448" t="inlineStr">
        <is>
          <t xml:space="preserve">  4 — DISTRIBUTION HISTOGRAM  (Probability Density)</t>
        </is>
      </c>
    </row>
    <row r="29">
      <c r="A29" s="23" t="inlineStr">
        <is>
          <t>Value Range</t>
        </is>
      </c>
      <c r="B29" s="23" t="inlineStr">
        <is>
          <t>Probability</t>
        </is>
      </c>
      <c r="C29" s="23" t="inlineStr">
        <is>
          <t>Density Bar</t>
        </is>
      </c>
      <c r="D29" s="23" t="inlineStr"/>
      <c r="E29" s="23" t="inlineStr"/>
      <c r="F29" s="23" t="inlineStr"/>
      <c r="G29" s="23" t="inlineStr"/>
    </row>
    <row r="30">
      <c r="A30" s="449" t="inlineStr">
        <is>
          <t>$-34 – $5</t>
        </is>
      </c>
      <c r="B30" s="450" t="inlineStr">
        <is>
          <t>7.6%</t>
        </is>
      </c>
      <c r="C30" s="451" t="inlineStr">
        <is>
          <t>██████████</t>
        </is>
      </c>
    </row>
    <row r="31">
      <c r="A31" s="449" t="inlineStr">
        <is>
          <t>$5 – $43</t>
        </is>
      </c>
      <c r="B31" s="450" t="inlineStr">
        <is>
          <t>22.4%</t>
        </is>
      </c>
      <c r="C31" s="452" t="inlineStr">
        <is>
          <t>██████████████████████████████</t>
        </is>
      </c>
    </row>
    <row r="32">
      <c r="A32" s="449" t="inlineStr">
        <is>
          <t>$43 – $82</t>
        </is>
      </c>
      <c r="B32" s="450" t="inlineStr">
        <is>
          <t>7.3%</t>
        </is>
      </c>
      <c r="C32" s="452" t="inlineStr">
        <is>
          <t>█████████</t>
        </is>
      </c>
    </row>
    <row r="33">
      <c r="A33" s="449" t="inlineStr">
        <is>
          <t>$82 – $121</t>
        </is>
      </c>
      <c r="B33" s="450" t="inlineStr">
        <is>
          <t>11.5%</t>
        </is>
      </c>
      <c r="C33" s="452" t="inlineStr">
        <is>
          <t>███████████████</t>
        </is>
      </c>
    </row>
    <row r="34">
      <c r="A34" s="449" t="inlineStr">
        <is>
          <t>$121 – $159</t>
        </is>
      </c>
      <c r="B34" s="450" t="inlineStr">
        <is>
          <t>16.3%</t>
        </is>
      </c>
      <c r="C34" s="452" t="inlineStr">
        <is>
          <t>█████████████████████</t>
        </is>
      </c>
    </row>
    <row r="35">
      <c r="A35" s="449" t="inlineStr">
        <is>
          <t>$159 – $198</t>
        </is>
      </c>
      <c r="B35" s="450" t="inlineStr">
        <is>
          <t>13.3%</t>
        </is>
      </c>
      <c r="C35" s="452" t="inlineStr">
        <is>
          <t>█████████████████</t>
        </is>
      </c>
    </row>
    <row r="36">
      <c r="A36" s="449" t="inlineStr">
        <is>
          <t>$198 – $237</t>
        </is>
      </c>
      <c r="B36" s="450" t="inlineStr">
        <is>
          <t>7.7%</t>
        </is>
      </c>
      <c r="C36" s="452" t="inlineStr">
        <is>
          <t>██████████</t>
        </is>
      </c>
    </row>
    <row r="37">
      <c r="A37" s="449" t="inlineStr">
        <is>
          <t>$237 – $275</t>
        </is>
      </c>
      <c r="B37" s="450" t="inlineStr">
        <is>
          <t>4.6%</t>
        </is>
      </c>
      <c r="C37" s="452" t="inlineStr">
        <is>
          <t>██████</t>
        </is>
      </c>
    </row>
    <row r="38">
      <c r="A38" s="449" t="inlineStr">
        <is>
          <t>$275 – $314</t>
        </is>
      </c>
      <c r="B38" s="450" t="inlineStr">
        <is>
          <t>2.2%</t>
        </is>
      </c>
      <c r="C38" s="452" t="inlineStr">
        <is>
          <t>███</t>
        </is>
      </c>
    </row>
    <row r="39">
      <c r="A39" s="449" t="inlineStr">
        <is>
          <t>$314 – $353</t>
        </is>
      </c>
      <c r="B39" s="450" t="inlineStr">
        <is>
          <t>1.6%</t>
        </is>
      </c>
      <c r="C39" s="452" t="inlineStr">
        <is>
          <t>██</t>
        </is>
      </c>
    </row>
    <row r="40">
      <c r="A40" s="449" t="inlineStr">
        <is>
          <t>$353 – $391</t>
        </is>
      </c>
      <c r="B40" s="450" t="inlineStr">
        <is>
          <t>0.9%</t>
        </is>
      </c>
      <c r="C40" s="452" t="inlineStr">
        <is>
          <t>█</t>
        </is>
      </c>
    </row>
    <row r="41">
      <c r="A41" s="449" t="inlineStr">
        <is>
          <t>$391 – $430</t>
        </is>
      </c>
      <c r="B41" s="450" t="inlineStr">
        <is>
          <t>0.7%</t>
        </is>
      </c>
      <c r="C41" s="452" t="inlineStr"/>
    </row>
    <row r="42">
      <c r="A42" s="449" t="inlineStr">
        <is>
          <t>$430 – $469</t>
        </is>
      </c>
      <c r="B42" s="450" t="inlineStr">
        <is>
          <t>0.4%</t>
        </is>
      </c>
      <c r="C42" s="452" t="inlineStr"/>
    </row>
    <row r="43">
      <c r="A43" s="449" t="inlineStr">
        <is>
          <t>$469 – $507</t>
        </is>
      </c>
      <c r="B43" s="450" t="inlineStr">
        <is>
          <t>0.4%</t>
        </is>
      </c>
      <c r="C43" s="452" t="inlineStr"/>
    </row>
    <row r="44">
      <c r="A44" s="449" t="inlineStr">
        <is>
          <t>$507 – $546</t>
        </is>
      </c>
      <c r="B44" s="450" t="inlineStr">
        <is>
          <t>0.3%</t>
        </is>
      </c>
      <c r="C44" s="452" t="inlineStr"/>
    </row>
    <row r="45">
      <c r="A45" s="449" t="inlineStr">
        <is>
          <t>$546 – $585</t>
        </is>
      </c>
      <c r="B45" s="450" t="inlineStr">
        <is>
          <t>0.2%</t>
        </is>
      </c>
      <c r="C45" s="452" t="inlineStr"/>
    </row>
    <row r="46">
      <c r="A46" s="449" t="inlineStr">
        <is>
          <t>$585 – $623</t>
        </is>
      </c>
      <c r="B46" s="450" t="inlineStr">
        <is>
          <t>0.2%</t>
        </is>
      </c>
      <c r="C46" s="452" t="inlineStr"/>
    </row>
    <row r="47">
      <c r="A47" s="449" t="inlineStr">
        <is>
          <t>$623 – $662</t>
        </is>
      </c>
      <c r="B47" s="450" t="inlineStr">
        <is>
          <t>0.1%</t>
        </is>
      </c>
      <c r="C47" s="452" t="inlineStr"/>
    </row>
    <row r="48">
      <c r="A48" s="449" t="inlineStr">
        <is>
          <t>$662 – $701</t>
        </is>
      </c>
      <c r="B48" s="450" t="inlineStr">
        <is>
          <t>0.1%</t>
        </is>
      </c>
      <c r="C48" s="452" t="inlineStr"/>
    </row>
    <row r="49">
      <c r="A49" s="449" t="inlineStr">
        <is>
          <t>$701 – $739</t>
        </is>
      </c>
      <c r="B49" s="450" t="inlineStr">
        <is>
          <t>0.1%</t>
        </is>
      </c>
      <c r="C49" s="452" t="inlineStr"/>
    </row>
    <row r="50"/>
    <row r="51">
      <c r="A51" s="314" t="inlineStr">
        <is>
          <t xml:space="preserve">  5 — TAIL RISK ANALYSIS  (Why Fat Tails Matter)</t>
        </is>
      </c>
    </row>
    <row r="52">
      <c r="A52" s="354" t="inlineStr">
        <is>
          <t xml:space="preserve">  Probability of bankruptcy</t>
        </is>
      </c>
      <c r="B52" s="453" t="inlineStr">
        <is>
          <t>6.44%</t>
        </is>
      </c>
      <c r="C52" s="356" t="inlineStr">
        <is>
          <t>GS Gaussian: ~0.001%  |  Fat-tail: realistic given leverage/growth profile</t>
        </is>
      </c>
    </row>
    <row r="53">
      <c r="A53" s="354" t="inlineStr">
        <is>
          <t xml:space="preserve">  Probability of 10x</t>
        </is>
      </c>
      <c r="B53" s="453" t="inlineStr">
        <is>
          <t>0.36%</t>
        </is>
      </c>
      <c r="C53" s="356" t="inlineStr">
        <is>
          <t>Extreme right tail — platform winners, network effect companies</t>
        </is>
      </c>
    </row>
    <row r="54">
      <c r="A54" s="354" t="inlineStr">
        <is>
          <t xml:space="preserve">  Probability of -50% loss</t>
        </is>
      </c>
      <c r="B54" s="453" t="inlineStr">
        <is>
          <t>34.76%</t>
        </is>
      </c>
      <c r="C54" s="356" t="inlineStr">
        <is>
          <t>Half your capital at risk — key for position sizing</t>
        </is>
      </c>
    </row>
    <row r="55">
      <c r="A55" s="354" t="inlineStr">
        <is>
          <t xml:space="preserve">  P99 – P1 range</t>
        </is>
      </c>
      <c r="B55" s="453" t="inlineStr">
        <is>
          <t>$-34 – $739</t>
        </is>
      </c>
      <c r="C55" s="356" t="inlineStr">
        <is>
          <t>98% of outcomes fall in this range</t>
        </is>
      </c>
    </row>
    <row r="56">
      <c r="A56" s="354" t="inlineStr">
        <is>
          <t xml:space="preserve">  Gaussian vs Fat-tail</t>
        </is>
      </c>
      <c r="B56" s="453" t="inlineStr">
        <is>
          <t>Fat tails assign 3-5x more probability to extreme outcomes</t>
        </is>
      </c>
      <c r="C56" s="356" t="inlineStr">
        <is>
          <t>Normal distribution dramatically underestimates both tails</t>
        </is>
      </c>
    </row>
    <row r="57">
      <c r="A57" s="354" t="inlineStr">
        <is>
          <t xml:space="preserve">  Investment implication</t>
        </is>
      </c>
      <c r="B57" s="453" t="inlineStr">
        <is>
          <t>Use fat-tail P5 for max position size; P50 for base case; P95 for upside target</t>
        </is>
      </c>
      <c r="C57" s="356" t="inlineStr">
        <is>
          <t>Kelly criterion uses full distribution, not just mean</t>
        </is>
      </c>
    </row>
  </sheetData>
  <sheetProtection selectLockedCells="0" selectUnlockedCells="0" sheet="1" objects="0" insertRows="0" insertHyperlinks="1" autoFilter="1" scenarios="0" formatColumns="1" deleteColumns="1" insertColumns="1" pivotTables="1" deleteRows="0" formatCells="0" formatRows="1" sort="1"/>
  <mergeCells count="47">
    <mergeCell ref="D18:G18"/>
    <mergeCell ref="C30:G30"/>
    <mergeCell ref="C49:G49"/>
    <mergeCell ref="C34:G34"/>
    <mergeCell ref="A8:G8"/>
    <mergeCell ref="D12:G12"/>
    <mergeCell ref="C42:G42"/>
    <mergeCell ref="B23:G23"/>
    <mergeCell ref="C33:G33"/>
    <mergeCell ref="D15:G15"/>
    <mergeCell ref="C45:G45"/>
    <mergeCell ref="D14:G14"/>
    <mergeCell ref="A28:G28"/>
    <mergeCell ref="C35:G35"/>
    <mergeCell ref="C47:G47"/>
    <mergeCell ref="C54:G54"/>
    <mergeCell ref="C44:G44"/>
    <mergeCell ref="C41:G41"/>
    <mergeCell ref="C55:G55"/>
    <mergeCell ref="D19:G19"/>
    <mergeCell ref="C31:G31"/>
    <mergeCell ref="D10:G10"/>
    <mergeCell ref="C40:G40"/>
    <mergeCell ref="A51:G51"/>
    <mergeCell ref="C56:G56"/>
    <mergeCell ref="B24:G24"/>
    <mergeCell ref="C43:G43"/>
    <mergeCell ref="C46:G46"/>
    <mergeCell ref="B26:G26"/>
    <mergeCell ref="C36:G36"/>
    <mergeCell ref="D11:G11"/>
    <mergeCell ref="D13:G13"/>
    <mergeCell ref="C39:G39"/>
    <mergeCell ref="C52:G52"/>
    <mergeCell ref="C48:G48"/>
    <mergeCell ref="B25:G25"/>
    <mergeCell ref="D17:G17"/>
    <mergeCell ref="B22:G22"/>
    <mergeCell ref="C32:G32"/>
    <mergeCell ref="C38:G38"/>
    <mergeCell ref="A21:G21"/>
    <mergeCell ref="A1:L1"/>
    <mergeCell ref="D16:G16"/>
    <mergeCell ref="C57:G57"/>
    <mergeCell ref="C37:G37"/>
    <mergeCell ref="C53:G53"/>
    <mergeCell ref="A5:G5"/>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62.xml><?xml version="1.0" encoding="utf-8"?>
<worksheet xmlns="http://schemas.openxmlformats.org/spreadsheetml/2006/main">
  <sheetPr>
    <tabColor rgb="000071E3"/>
    <outlinePr summaryBelow="1" summaryRight="1"/>
    <pageSetUpPr fitToPage="1"/>
  </sheetPr>
  <dimension ref="A1:S50"/>
  <sheetViews>
    <sheetView workbookViewId="0">
      <selection activeCell="A1" sqref="A1"/>
    </sheetView>
  </sheetViews>
  <sheetFormatPr baseColWidth="8" defaultRowHeight="15"/>
  <cols>
    <col width="26" customWidth="1" min="1" max="1"/>
    <col width="12" customWidth="1" min="2" max="2"/>
    <col width="12" customWidth="1" min="3" max="3"/>
    <col width="12" customWidth="1" min="4" max="4"/>
    <col width="12" customWidth="1" min="5" max="5"/>
    <col width="14" customWidth="1" min="6" max="6"/>
    <col width="16" customWidth="1" min="7" max="7"/>
    <col width="18" customWidth="1" min="8" max="8"/>
  </cols>
  <sheetData>
    <row r="1" ht="32" customHeight="1">
      <c r="A1" s="21" t="inlineStr">
        <is>
          <t xml:space="preserve">  Historical Pattern Matcher    |    Find Companies That Looked Like This  |  See What Happened 3 Years Later</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SUBJECT COMPANY PROFILE  (What This Company Looks Like Today)</t>
        </is>
      </c>
    </row>
    <row r="6">
      <c r="A6" s="354" t="inlineStr">
        <is>
          <t xml:space="preserve">  Company</t>
        </is>
      </c>
      <c r="B6" s="355" t="inlineStr">
        <is>
          <t>AAPL</t>
        </is>
      </c>
      <c r="C6" s="356" t="inlineStr">
        <is>
          <t>Subject of analysis</t>
        </is>
      </c>
    </row>
    <row r="7">
      <c r="A7" s="354" t="inlineStr">
        <is>
          <t xml:space="preserve">  Revenue (LTM)</t>
        </is>
      </c>
      <c r="B7" s="355" t="inlineStr">
        <is>
          <t>$391.0B</t>
        </is>
      </c>
      <c r="C7" s="356" t="inlineStr">
        <is>
          <t>Last twelve months</t>
        </is>
      </c>
    </row>
    <row r="8">
      <c r="A8" s="354" t="inlineStr">
        <is>
          <t xml:space="preserve">  Revenue Growth</t>
        </is>
      </c>
      <c r="B8" s="355" t="inlineStr">
        <is>
          <t>2.0%</t>
        </is>
      </c>
      <c r="C8" s="356" t="inlineStr">
        <is>
          <t>YoY growth rate</t>
        </is>
      </c>
    </row>
    <row r="9">
      <c r="A9" s="354" t="inlineStr">
        <is>
          <t xml:space="preserve">  EBIT Margin</t>
        </is>
      </c>
      <c r="B9" s="355" t="inlineStr">
        <is>
          <t>31.5%</t>
        </is>
      </c>
      <c r="C9" s="356" t="inlineStr">
        <is>
          <t>Operating income / revenue</t>
        </is>
      </c>
    </row>
    <row r="10">
      <c r="A10" s="354" t="inlineStr">
        <is>
          <t xml:space="preserve">  EV / Revenue</t>
        </is>
      </c>
      <c r="B10" s="355" t="inlineStr">
        <is>
          <t>8.4x</t>
        </is>
      </c>
      <c r="C10" s="356" t="inlineStr">
        <is>
          <t>Current market implied multiple</t>
        </is>
      </c>
    </row>
    <row r="11">
      <c r="A11" s="354" t="inlineStr">
        <is>
          <t xml:space="preserve">  Matching Dimensions</t>
        </is>
      </c>
      <c r="B11" s="355" t="inlineStr">
        <is>
          <t>4-factor model</t>
        </is>
      </c>
      <c r="C11" s="356" t="inlineStr">
        <is>
          <t>Revenue scale, growth, margin, multiple</t>
        </is>
      </c>
    </row>
    <row r="12"/>
    <row r="13">
      <c r="A13" s="353" t="inlineStr">
        <is>
          <t xml:space="preserve">  2 — OUTCOME STATISTICS  (What Happened to Historical Matches)</t>
        </is>
      </c>
    </row>
    <row r="14">
      <c r="A14" s="454" t="inlineStr">
        <is>
          <t xml:space="preserve">  Median 3-Year Return: +140%   (70% beat market  |  30% underperformed)   Based on 10 historical analogs</t>
        </is>
      </c>
    </row>
    <row r="15">
      <c r="A15" s="354" t="inlineStr">
        <is>
          <t xml:space="preserve">  Analogs matched</t>
        </is>
      </c>
      <c r="B15" s="453" t="n">
        <v>10</v>
      </c>
      <c r="C15" s="356" t="inlineStr">
        <is>
          <t>Historical companies with similar profile</t>
        </is>
      </c>
    </row>
    <row r="16">
      <c r="A16" s="354" t="inlineStr">
        <is>
          <t xml:space="preserve">  Median 3-yr return</t>
        </is>
      </c>
      <c r="B16" s="455" t="inlineStr">
        <is>
          <t>+140%</t>
        </is>
      </c>
      <c r="C16" s="356" t="inlineStr">
        <is>
          <t>Median total return of matched companies</t>
        </is>
      </c>
    </row>
    <row r="17">
      <c r="A17" s="354" t="inlineStr">
        <is>
          <t xml:space="preserve">  Mean 3-yr return</t>
        </is>
      </c>
      <c r="B17" s="455" t="inlineStr">
        <is>
          <t>+232%</t>
        </is>
      </c>
      <c r="C17" s="356" t="inlineStr">
        <is>
          <t>Average total return</t>
        </is>
      </c>
    </row>
    <row r="18">
      <c r="A18" s="354" t="inlineStr">
        <is>
          <t xml:space="preserve">  Best outcome</t>
        </is>
      </c>
      <c r="B18" s="455" t="inlineStr">
        <is>
          <t>+1020%</t>
        </is>
      </c>
      <c r="C18" s="356" t="inlineStr">
        <is>
          <t>Best-case historical return</t>
        </is>
      </c>
    </row>
    <row r="19">
      <c r="A19" s="354" t="inlineStr">
        <is>
          <t xml:space="preserve">  Worst outcome</t>
        </is>
      </c>
      <c r="B19" s="456" t="inlineStr">
        <is>
          <t>-60%</t>
        </is>
      </c>
      <c r="C19" s="356" t="inlineStr">
        <is>
          <t>Worst-case historical return</t>
        </is>
      </c>
    </row>
    <row r="20">
      <c r="A20" s="354" t="inlineStr">
        <is>
          <t xml:space="preserve">  % Compounded ↑</t>
        </is>
      </c>
      <c r="B20" s="453" t="inlineStr">
        <is>
          <t>4/10</t>
        </is>
      </c>
      <c r="C20" s="356" t="inlineStr">
        <is>
          <t>Companies that kept growing strongly</t>
        </is>
      </c>
    </row>
    <row r="21">
      <c r="A21" s="354" t="inlineStr">
        <is>
          <t xml:space="preserve">  % Peaked then fell ↓</t>
        </is>
      </c>
      <c r="B21" s="453" t="inlineStr">
        <is>
          <t>3/10</t>
        </is>
      </c>
      <c r="C21" s="356" t="inlineStr">
        <is>
          <t>Companies that re-rated lower</t>
        </is>
      </c>
    </row>
    <row r="22">
      <c r="A22" s="354" t="inlineStr">
        <is>
          <t xml:space="preserve">  % Steady growth</t>
        </is>
      </c>
      <c r="B22" s="453" t="inlineStr">
        <is>
          <t>3/10</t>
        </is>
      </c>
      <c r="C22" s="356" t="inlineStr">
        <is>
          <t>Stable moderate growers</t>
        </is>
      </c>
    </row>
    <row r="23"/>
    <row r="24">
      <c r="A24" s="314" t="inlineStr">
        <is>
          <t xml:space="preserve">  3 — TOP HISTORICAL ANALOGS  (Sorted by Similarity Score)</t>
        </is>
      </c>
    </row>
    <row r="25">
      <c r="A25" s="23" t="inlineStr">
        <is>
          <t>Analog Company</t>
        </is>
      </c>
      <c r="B25" s="23" t="inlineStr">
        <is>
          <t>Rev ($B)</t>
        </is>
      </c>
      <c r="C25" s="23" t="inlineStr">
        <is>
          <t>Growth</t>
        </is>
      </c>
      <c r="D25" s="23" t="inlineStr">
        <is>
          <t>EBIT Mgn</t>
        </is>
      </c>
      <c r="E25" s="23" t="inlineStr">
        <is>
          <t>EV/Rev</t>
        </is>
      </c>
      <c r="F25" s="23" t="inlineStr">
        <is>
          <t>Similarity</t>
        </is>
      </c>
      <c r="G25" s="23" t="inlineStr">
        <is>
          <t>3yr Return</t>
        </is>
      </c>
      <c r="H25" s="23" t="inlineStr">
        <is>
          <t>Outcome</t>
        </is>
      </c>
    </row>
    <row r="26">
      <c r="A26" s="348" t="inlineStr">
        <is>
          <t>Microsoft 2020</t>
        </is>
      </c>
      <c r="B26" s="348" t="inlineStr">
        <is>
          <t>$143.0B</t>
        </is>
      </c>
      <c r="C26" s="348" t="inlineStr">
        <is>
          <t>14.0%</t>
        </is>
      </c>
      <c r="D26" s="348" t="inlineStr">
        <is>
          <t>37.0%</t>
        </is>
      </c>
      <c r="E26" s="348" t="inlineStr">
        <is>
          <t>10.0x</t>
        </is>
      </c>
      <c r="F26" s="349" t="inlineStr">
        <is>
          <t>90%</t>
        </is>
      </c>
      <c r="G26" s="352" t="inlineStr">
        <is>
          <t>+140%</t>
        </is>
      </c>
      <c r="H26" s="457" t="inlineStr">
        <is>
          <t>STEADY GROWTH</t>
        </is>
      </c>
    </row>
    <row r="27">
      <c r="A27" s="438" t="inlineStr">
        <is>
          <t>Amazon 2016</t>
        </is>
      </c>
      <c r="B27" s="438" t="inlineStr">
        <is>
          <t>$136.0B</t>
        </is>
      </c>
      <c r="C27" s="438" t="inlineStr">
        <is>
          <t>27.0%</t>
        </is>
      </c>
      <c r="D27" s="438" t="inlineStr">
        <is>
          <t>3.0%</t>
        </is>
      </c>
      <c r="E27" s="438" t="inlineStr">
        <is>
          <t>2.5x</t>
        </is>
      </c>
      <c r="F27" s="458" t="inlineStr">
        <is>
          <t>85%</t>
        </is>
      </c>
      <c r="G27" s="447" t="inlineStr">
        <is>
          <t>+310%</t>
        </is>
      </c>
      <c r="H27" s="459" t="inlineStr">
        <is>
          <t>COMPOUNDED ↑</t>
        </is>
      </c>
    </row>
    <row r="28">
      <c r="A28" s="348" t="inlineStr">
        <is>
          <t>Boeing 2017</t>
        </is>
      </c>
      <c r="B28" s="348" t="inlineStr">
        <is>
          <t>$93.0B</t>
        </is>
      </c>
      <c r="C28" s="348" t="inlineStr">
        <is>
          <t>7.0%</t>
        </is>
      </c>
      <c r="D28" s="348" t="inlineStr">
        <is>
          <t>10.0%</t>
        </is>
      </c>
      <c r="E28" s="348" t="inlineStr">
        <is>
          <t>1.8x</t>
        </is>
      </c>
      <c r="F28" s="349" t="inlineStr">
        <is>
          <t>85%</t>
        </is>
      </c>
      <c r="G28" s="352" t="inlineStr">
        <is>
          <t>+40%</t>
        </is>
      </c>
      <c r="H28" s="457" t="inlineStr">
        <is>
          <t>STEADY GROWTH</t>
        </is>
      </c>
    </row>
    <row r="29">
      <c r="A29" s="438" t="inlineStr">
        <is>
          <t>Intel 2021</t>
        </is>
      </c>
      <c r="B29" s="438" t="inlineStr">
        <is>
          <t>$79.0B</t>
        </is>
      </c>
      <c r="C29" s="438" t="inlineStr">
        <is>
          <t>1.0%</t>
        </is>
      </c>
      <c r="D29" s="438" t="inlineStr">
        <is>
          <t>22.0%</t>
        </is>
      </c>
      <c r="E29" s="438" t="inlineStr">
        <is>
          <t>2.5x</t>
        </is>
      </c>
      <c r="F29" s="458" t="inlineStr">
        <is>
          <t>84%</t>
        </is>
      </c>
      <c r="G29" s="439" t="inlineStr">
        <is>
          <t>-60%</t>
        </is>
      </c>
      <c r="H29" s="460" t="inlineStr">
        <is>
          <t>PEAKED ↓</t>
        </is>
      </c>
    </row>
    <row r="30">
      <c r="A30" s="348" t="inlineStr">
        <is>
          <t>Tesla 2022</t>
        </is>
      </c>
      <c r="B30" s="348" t="inlineStr">
        <is>
          <t>$81.5B</t>
        </is>
      </c>
      <c r="C30" s="348" t="inlineStr">
        <is>
          <t>51.0%</t>
        </is>
      </c>
      <c r="D30" s="348" t="inlineStr">
        <is>
          <t>14.0%</t>
        </is>
      </c>
      <c r="E30" s="348" t="inlineStr">
        <is>
          <t>4.5x</t>
        </is>
      </c>
      <c r="F30" s="349" t="inlineStr">
        <is>
          <t>78%</t>
        </is>
      </c>
      <c r="G30" s="440" t="inlineStr">
        <is>
          <t>-60%</t>
        </is>
      </c>
      <c r="H30" s="436" t="inlineStr">
        <is>
          <t>PEAKED ↓</t>
        </is>
      </c>
    </row>
    <row r="31">
      <c r="A31" s="438" t="inlineStr">
        <is>
          <t>Netflix 2021</t>
        </is>
      </c>
      <c r="B31" s="438" t="inlineStr">
        <is>
          <t>$29.7B</t>
        </is>
      </c>
      <c r="C31" s="438" t="inlineStr">
        <is>
          <t>19.0%</t>
        </is>
      </c>
      <c r="D31" s="438" t="inlineStr">
        <is>
          <t>18.0%</t>
        </is>
      </c>
      <c r="E31" s="438" t="inlineStr">
        <is>
          <t>6.5x</t>
        </is>
      </c>
      <c r="F31" s="458" t="inlineStr">
        <is>
          <t>74%</t>
        </is>
      </c>
      <c r="G31" s="439" t="inlineStr">
        <is>
          <t>-60%</t>
        </is>
      </c>
      <c r="H31" s="460" t="inlineStr">
        <is>
          <t>PEAKED ↓</t>
        </is>
      </c>
    </row>
    <row r="32">
      <c r="A32" s="348" t="inlineStr">
        <is>
          <t>Tesla 2020</t>
        </is>
      </c>
      <c r="B32" s="348" t="inlineStr">
        <is>
          <t>$31.5B</t>
        </is>
      </c>
      <c r="C32" s="348" t="inlineStr">
        <is>
          <t>28.0%</t>
        </is>
      </c>
      <c r="D32" s="348" t="inlineStr">
        <is>
          <t>6.0%</t>
        </is>
      </c>
      <c r="E32" s="348" t="inlineStr">
        <is>
          <t>5.5x</t>
        </is>
      </c>
      <c r="F32" s="349" t="inlineStr">
        <is>
          <t>73%</t>
        </is>
      </c>
      <c r="G32" s="352" t="inlineStr">
        <is>
          <t>+520%</t>
        </is>
      </c>
      <c r="H32" s="461" t="inlineStr">
        <is>
          <t>COMPOUNDED ↑</t>
        </is>
      </c>
    </row>
    <row r="33">
      <c r="A33" s="438" t="inlineStr">
        <is>
          <t>NextEra 2019</t>
        </is>
      </c>
      <c r="B33" s="438" t="inlineStr">
        <is>
          <t>$19.2B</t>
        </is>
      </c>
      <c r="C33" s="438" t="inlineStr">
        <is>
          <t>11.0%</t>
        </is>
      </c>
      <c r="D33" s="438" t="inlineStr">
        <is>
          <t>18.0%</t>
        </is>
      </c>
      <c r="E33" s="438" t="inlineStr">
        <is>
          <t>3.5x</t>
        </is>
      </c>
      <c r="F33" s="458" t="inlineStr">
        <is>
          <t>70%</t>
        </is>
      </c>
      <c r="G33" s="447" t="inlineStr">
        <is>
          <t>+90%</t>
        </is>
      </c>
      <c r="H33" s="462" t="inlineStr">
        <is>
          <t>STEADY GROWTH</t>
        </is>
      </c>
    </row>
    <row r="34">
      <c r="A34" s="348" t="inlineStr">
        <is>
          <t>Nvidia 2022</t>
        </is>
      </c>
      <c r="B34" s="348" t="inlineStr">
        <is>
          <t>$27.0B</t>
        </is>
      </c>
      <c r="C34" s="348" t="inlineStr">
        <is>
          <t>61.0%</t>
        </is>
      </c>
      <c r="D34" s="348" t="inlineStr">
        <is>
          <t>26.0%</t>
        </is>
      </c>
      <c r="E34" s="348" t="inlineStr">
        <is>
          <t>18.0x</t>
        </is>
      </c>
      <c r="F34" s="348" t="inlineStr">
        <is>
          <t>68%</t>
        </is>
      </c>
      <c r="G34" s="352" t="inlineStr">
        <is>
          <t>+380%</t>
        </is>
      </c>
      <c r="H34" s="461" t="inlineStr">
        <is>
          <t>COMPOUNDED ↑</t>
        </is>
      </c>
    </row>
    <row r="35">
      <c r="A35" s="438" t="inlineStr">
        <is>
          <t>Nvidia 2019</t>
        </is>
      </c>
      <c r="B35" s="438" t="inlineStr">
        <is>
          <t>$11.7B</t>
        </is>
      </c>
      <c r="C35" s="438" t="inlineStr">
        <is>
          <t>-7.0%</t>
        </is>
      </c>
      <c r="D35" s="438" t="inlineStr">
        <is>
          <t>22.0%</t>
        </is>
      </c>
      <c r="E35" s="438" t="inlineStr">
        <is>
          <t>8.0x</t>
        </is>
      </c>
      <c r="F35" s="438" t="inlineStr">
        <is>
          <t>66%</t>
        </is>
      </c>
      <c r="G35" s="447" t="inlineStr">
        <is>
          <t>+1020%</t>
        </is>
      </c>
      <c r="H35" s="459" t="inlineStr">
        <is>
          <t>COMPOUNDED ↑</t>
        </is>
      </c>
    </row>
    <row r="36"/>
    <row r="37">
      <c r="A37" s="314" t="inlineStr">
        <is>
          <t xml:space="preserve">  4 — HOW TO READ THIS  (Why This Beats Goldman Sachs)</t>
        </is>
      </c>
    </row>
    <row r="38">
      <c r="A38" s="354" t="inlineStr">
        <is>
          <t xml:space="preserve">  Method</t>
        </is>
      </c>
      <c r="B38" s="357" t="inlineStr">
        <is>
          <t>Euclidean distance across 4 normalized dimensions: revenue scale, growth, margin, multiple</t>
        </is>
      </c>
    </row>
    <row r="39">
      <c r="A39" s="354" t="inlineStr">
        <is>
          <t xml:space="preserve">  Similarity 80%+</t>
        </is>
      </c>
      <c r="B39" s="357" t="inlineStr">
        <is>
          <t>Very close match — high confidence in outcome distribution</t>
        </is>
      </c>
    </row>
    <row r="40">
      <c r="A40" s="354" t="inlineStr">
        <is>
          <t xml:space="preserve">  Similarity 50-80%</t>
        </is>
      </c>
      <c r="B40" s="357" t="inlineStr">
        <is>
          <t>Moderate match — directional signal only</t>
        </is>
      </c>
    </row>
    <row r="41">
      <c r="A41" s="354" t="inlineStr">
        <is>
          <t xml:space="preserve">  Key insight</t>
        </is>
      </c>
      <c r="B41" s="357" t="inlineStr">
        <is>
          <t>If 7 of 10 analogs peaked within 18 months → position defensively</t>
        </is>
      </c>
    </row>
    <row r="42">
      <c r="A42" s="354" t="inlineStr">
        <is>
          <t xml:space="preserve">  Key insight</t>
        </is>
      </c>
      <c r="B42" s="357" t="inlineStr">
        <is>
          <t>If 8 of 10 analogs compounded → this profile historically rewards patience</t>
        </is>
      </c>
    </row>
    <row r="43">
      <c r="A43" s="354" t="inlineStr">
        <is>
          <t xml:space="preserve">  GS advantage</t>
        </is>
      </c>
      <c r="B43" s="357" t="inlineStr">
        <is>
          <t>GS analysts manually compare 3-5 companies. We compare 37 systematically.</t>
        </is>
      </c>
    </row>
    <row r="44">
      <c r="A44" s="354" t="inlineStr">
        <is>
          <t xml:space="preserve">  Limitation</t>
        </is>
      </c>
      <c r="B44" s="357" t="inlineStr">
        <is>
          <t>Historical patterns are not predictions — use as probabilistic input, not certainty</t>
        </is>
      </c>
    </row>
    <row r="45">
      <c r="A45" s="354" t="inlineStr">
        <is>
          <t xml:space="preserve">  Upgrade path</t>
        </is>
      </c>
      <c r="B45" s="357" t="inlineStr">
        <is>
          <t>Connect to Compustat / CRSP for 10,000+ company database with real 3-year returns</t>
        </is>
      </c>
    </row>
    <row r="46"/>
    <row r="47"/>
    <row r="48"/>
    <row r="49"/>
    <row r="50"/>
  </sheetData>
  <sheetProtection selectLockedCells="0" selectUnlockedCells="0" sheet="1" objects="0" insertRows="0" insertHyperlinks="1" autoFilter="1" scenarios="0" formatColumns="1" deleteColumns="1" insertColumns="1" pivotTables="1" deleteRows="0" formatCells="0" formatRows="1" sort="1"/>
  <mergeCells count="28">
    <mergeCell ref="C10:H10"/>
    <mergeCell ref="C16:H16"/>
    <mergeCell ref="B40:H40"/>
    <mergeCell ref="C22:H22"/>
    <mergeCell ref="A24:H24"/>
    <mergeCell ref="C9:H9"/>
    <mergeCell ref="C21:H21"/>
    <mergeCell ref="B45:H45"/>
    <mergeCell ref="C11:H11"/>
    <mergeCell ref="B41:H41"/>
    <mergeCell ref="C8:H8"/>
    <mergeCell ref="C17:H17"/>
    <mergeCell ref="A37:H37"/>
    <mergeCell ref="C7:H7"/>
    <mergeCell ref="C19:H19"/>
    <mergeCell ref="B43:H43"/>
    <mergeCell ref="B39:H39"/>
    <mergeCell ref="A14:H14"/>
    <mergeCell ref="C18:H18"/>
    <mergeCell ref="A5:H5"/>
    <mergeCell ref="B42:H42"/>
    <mergeCell ref="C15:H15"/>
    <mergeCell ref="C6:H6"/>
    <mergeCell ref="B44:H44"/>
    <mergeCell ref="A1:L1"/>
    <mergeCell ref="B38:H38"/>
    <mergeCell ref="A13:H13"/>
    <mergeCell ref="C20:H20"/>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63.xml><?xml version="1.0" encoding="utf-8"?>
<worksheet xmlns="http://schemas.openxmlformats.org/spreadsheetml/2006/main">
  <sheetPr>
    <tabColor rgb="000071E3"/>
    <outlinePr summaryBelow="1" summaryRight="1"/>
    <pageSetUpPr fitToPage="1"/>
  </sheetPr>
  <dimension ref="A1:S50"/>
  <sheetViews>
    <sheetView workbookViewId="0">
      <selection activeCell="A1" sqref="A1"/>
    </sheetView>
  </sheetViews>
  <sheetFormatPr baseColWidth="8" defaultRowHeight="15"/>
  <cols>
    <col width="32" customWidth="1" min="1" max="1"/>
    <col width="18" customWidth="1" min="2" max="2"/>
    <col width="18" customWidth="1" min="3" max="3"/>
    <col width="18" customWidth="1" min="4" max="4"/>
    <col width="16" customWidth="1" min="5" max="5"/>
    <col width="16" customWidth="1" min="6" max="6"/>
  </cols>
  <sheetData>
    <row r="1" ht="32" customHeight="1">
      <c r="A1" s="21" t="inlineStr">
        <is>
          <t xml:space="preserve">  Earnings Release NLP Analysis    |    Auto-Extracted 8-K Guidance  |  Sentiment Scoring  |  Forward-Looking Statements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FILING METADATA</t>
        </is>
      </c>
    </row>
    <row r="6">
      <c r="A6" s="77" t="inlineStr">
        <is>
          <t>Ticker</t>
        </is>
      </c>
      <c r="B6" s="463" t="inlineStr">
        <is>
          <t>AAPL</t>
        </is>
      </c>
    </row>
    <row r="7">
      <c r="A7" s="77" t="inlineStr">
        <is>
          <t>Filing Type</t>
        </is>
      </c>
      <c r="B7" s="463" t="inlineStr">
        <is>
          <t>8-K (Current Report — Results of Operations)</t>
        </is>
      </c>
    </row>
    <row r="8">
      <c r="A8" s="77" t="inlineStr">
        <is>
          <t>Filing Date</t>
        </is>
      </c>
      <c r="B8" s="463" t="inlineStr">
        <is>
          <t>Not available</t>
        </is>
      </c>
    </row>
    <row r="9">
      <c r="A9" s="77" t="inlineStr">
        <is>
          <t>Source</t>
        </is>
      </c>
      <c r="B9" s="463" t="inlineStr">
        <is>
          <t>SEC EDGAR (free, no API key)</t>
        </is>
      </c>
    </row>
    <row r="10">
      <c r="A10" s="77" t="inlineStr">
        <is>
          <t>Text Extracted</t>
        </is>
      </c>
      <c r="B10" s="463" t="inlineStr">
        <is>
          <t>Not fetched</t>
        </is>
      </c>
    </row>
    <row r="11"/>
    <row r="12">
      <c r="A12" s="353" t="inlineStr">
        <is>
          <t xml:space="preserve">  2 — EXTRACTED GUIDANCE vs MODEL vs CONSENSUS</t>
        </is>
      </c>
    </row>
    <row r="13">
      <c r="A13" s="23" t="inlineStr">
        <is>
          <t>Metric</t>
        </is>
      </c>
      <c r="B13" s="23" t="inlineStr">
        <is>
          <t>8-K Extracted</t>
        </is>
      </c>
      <c r="C13" s="23" t="inlineStr">
        <is>
          <t>Our Model</t>
        </is>
      </c>
      <c r="D13" s="23" t="inlineStr">
        <is>
          <t>Consensus Est.</t>
        </is>
      </c>
      <c r="E13" s="23" t="inlineStr">
        <is>
          <t>Delta (8-K vs Model)</t>
        </is>
      </c>
      <c r="F13" s="23" t="inlineStr">
        <is>
          <t>Signal</t>
        </is>
      </c>
    </row>
    <row r="14">
      <c r="A14" s="438" t="inlineStr">
        <is>
          <t>Revenue Guidance ($M)</t>
        </is>
      </c>
      <c r="B14" s="438" t="inlineStr">
        <is>
          <t>Not extracted</t>
        </is>
      </c>
      <c r="C14" s="438" t="inlineStr">
        <is>
          <t>$449,690M</t>
        </is>
      </c>
      <c r="D14" s="438" t="inlineStr">
        <is>
          <t>—</t>
        </is>
      </c>
      <c r="E14" s="438" t="inlineStr">
        <is>
          <t>—</t>
        </is>
      </c>
      <c r="F14" s="438" t="inlineStr">
        <is>
          <t>—</t>
        </is>
      </c>
    </row>
    <row r="15">
      <c r="A15" s="348" t="inlineStr">
        <is>
          <t>EPS Guidance</t>
        </is>
      </c>
      <c r="B15" s="348" t="inlineStr">
        <is>
          <t>Not extracted</t>
        </is>
      </c>
      <c r="C15" s="348" t="inlineStr">
        <is>
          <t>—</t>
        </is>
      </c>
      <c r="D15" s="348" t="inlineStr">
        <is>
          <t>—</t>
        </is>
      </c>
      <c r="E15" s="348" t="inlineStr">
        <is>
          <t>—</t>
        </is>
      </c>
      <c r="F15" s="348" t="inlineStr">
        <is>
          <t>—</t>
        </is>
      </c>
    </row>
    <row r="16">
      <c r="A16" s="438" t="inlineStr">
        <is>
          <t>EBITDA Guidance ($M)</t>
        </is>
      </c>
      <c r="B16" s="438" t="inlineStr">
        <is>
          <t>Not extracted</t>
        </is>
      </c>
      <c r="C16" s="438" t="inlineStr">
        <is>
          <t>—</t>
        </is>
      </c>
      <c r="D16" s="438" t="inlineStr">
        <is>
          <t>—</t>
        </is>
      </c>
      <c r="E16" s="438" t="inlineStr">
        <is>
          <t>—</t>
        </is>
      </c>
      <c r="F16" s="438" t="inlineStr">
        <is>
          <t>—</t>
        </is>
      </c>
    </row>
    <row r="17">
      <c r="A17" s="348" t="inlineStr">
        <is>
          <t>Margin Guidance</t>
        </is>
      </c>
      <c r="B17" s="348" t="inlineStr">
        <is>
          <t>Not extracted</t>
        </is>
      </c>
      <c r="C17" s="348" t="inlineStr">
        <is>
          <t>—</t>
        </is>
      </c>
      <c r="D17" s="348" t="inlineStr">
        <is>
          <t>—</t>
        </is>
      </c>
      <c r="E17" s="348" t="inlineStr">
        <is>
          <t>—</t>
        </is>
      </c>
      <c r="F17" s="348" t="inlineStr">
        <is>
          <t>—</t>
        </is>
      </c>
    </row>
    <row r="18"/>
    <row r="19">
      <c r="A19" s="464" t="inlineStr">
        <is>
          <t xml:space="preserve">  3 — LANGUAGE SENTIMENT ANALYSIS</t>
        </is>
      </c>
    </row>
    <row r="20">
      <c r="A20" s="465" t="inlineStr">
        <is>
          <t xml:space="preserve">  SENTIMENT: N/A   Score: +0.000  (░░░░░░░░░░░░░░░░░░░░)</t>
        </is>
      </c>
    </row>
    <row r="21">
      <c r="A21" s="354" t="inlineStr">
        <is>
          <t>Positive language signals</t>
        </is>
      </c>
      <c r="B21" s="453" t="n">
        <v>0</v>
      </c>
      <c r="C21" s="317" t="inlineStr">
        <is>
          <t>Words: record, strong, exceeded, accelerating, momentum…</t>
        </is>
      </c>
    </row>
    <row r="22">
      <c r="A22" s="354" t="inlineStr">
        <is>
          <t>Negative language signals</t>
        </is>
      </c>
      <c r="B22" s="453" t="n">
        <v>0</v>
      </c>
      <c r="C22" s="317" t="inlineStr">
        <is>
          <t>Words: headwinds, uncertain, pressure, deceleration…</t>
        </is>
      </c>
    </row>
    <row r="23">
      <c r="A23" s="354" t="inlineStr">
        <is>
          <t>Net sentiment score</t>
        </is>
      </c>
      <c r="B23" s="453" t="inlineStr">
        <is>
          <t>+0.000</t>
        </is>
      </c>
      <c r="C23" s="317" t="inlineStr">
        <is>
          <t>+1.0 = maximally bullish, -1.0 = maximally bearish</t>
        </is>
      </c>
    </row>
    <row r="24">
      <c r="A24" s="354" t="inlineStr">
        <is>
          <t>Guidance revision</t>
        </is>
      </c>
      <c r="B24" s="453" t="inlineStr">
        <is>
          <t>No change detected</t>
        </is>
      </c>
      <c r="C24" s="317" t="inlineStr">
        <is>
          <t>Based on language pattern: 'raising', 'increasing', 'lowering'…</t>
        </is>
      </c>
    </row>
    <row r="25"/>
    <row r="26">
      <c r="A26" s="314" t="inlineStr">
        <is>
          <t xml:space="preserve">  4 — AUTO-EXTRACTED FORWARD-LOOKING STATEMENTS</t>
        </is>
      </c>
    </row>
    <row r="27">
      <c r="A27" s="466" t="inlineStr">
        <is>
          <t xml:space="preserve">  These sentences were automatically extracted by the NLP engine — no analyst manual reading required.</t>
        </is>
      </c>
    </row>
    <row r="28">
      <c r="A28" s="317" t="inlineStr">
        <is>
          <t xml:space="preserve">  No guidance sentences extracted — 8-K may not contain earnings guidance, or filing was not fetched for this company.</t>
        </is>
      </c>
    </row>
    <row r="29"/>
    <row r="30">
      <c r="A30" s="314" t="inlineStr">
        <is>
          <t xml:space="preserve">  5 — NLP METHODOLOGY  (Why This Beats Goldman Sachs)</t>
        </is>
      </c>
    </row>
    <row r="31">
      <c r="A31" s="354" t="inlineStr">
        <is>
          <t xml:space="preserve">  Data Source</t>
        </is>
      </c>
      <c r="B31" s="357" t="inlineStr">
        <is>
          <t>SEC EDGAR EDGAR 8-K filings — free, no Bloomberg required</t>
        </is>
      </c>
    </row>
    <row r="32">
      <c r="A32" s="354" t="inlineStr">
        <is>
          <t xml:space="preserve">  Parsing Speed</t>
        </is>
      </c>
      <c r="B32" s="357" t="inlineStr">
        <is>
          <t>&lt; 5 seconds vs 2-3 hours analyst manual reading</t>
        </is>
      </c>
    </row>
    <row r="33">
      <c r="A33" s="354" t="inlineStr">
        <is>
          <t xml:space="preserve">  Sentiment Engine</t>
        </is>
      </c>
      <c r="B33" s="357" t="inlineStr">
        <is>
          <t>40+ positive / negative keyword dictionary, normalized to -1→+1 scale</t>
        </is>
      </c>
    </row>
    <row r="34">
      <c r="A34" s="354" t="inlineStr">
        <is>
          <t xml:space="preserve">  Guidance Extract</t>
        </is>
      </c>
      <c r="B34" s="357" t="inlineStr">
        <is>
          <t>Regex NLP over guidance-context sentences — revenue, EPS, EBITDA, margins</t>
        </is>
      </c>
    </row>
    <row r="35">
      <c r="A35" s="354" t="inlineStr">
        <is>
          <t xml:space="preserve">  Auto-population</t>
        </is>
      </c>
      <c r="B35" s="357" t="inlineStr">
        <is>
          <t>Extracted figures flow directly into Guidance Tracker — no manual entry</t>
        </is>
      </c>
    </row>
    <row r="36">
      <c r="A36" s="354" t="inlineStr">
        <is>
          <t xml:space="preserve">  Coverage</t>
        </is>
      </c>
      <c r="B36" s="357" t="inlineStr">
        <is>
          <t>Any SEC-registered company — not limited to GS coverage universe</t>
        </is>
      </c>
    </row>
    <row r="37">
      <c r="A37" s="354" t="inlineStr">
        <is>
          <t xml:space="preserve">  Auditability</t>
        </is>
      </c>
      <c r="B37" s="357" t="inlineStr">
        <is>
          <t>All extracted sentences shown verbatim — analyst can verify and override</t>
        </is>
      </c>
    </row>
    <row r="38">
      <c r="A38" s="354" t="inlineStr">
        <is>
          <t xml:space="preserve">  Future upgrade</t>
        </is>
      </c>
      <c r="B38" s="357" t="inlineStr">
        <is>
          <t>GPT/LLM layer can add paraphrase detection, tone shift analysis, Q&amp;A parsing</t>
        </is>
      </c>
    </row>
    <row r="39"/>
    <row r="40"/>
    <row r="41"/>
    <row r="42"/>
    <row r="43"/>
    <row r="44"/>
    <row r="45"/>
    <row r="46"/>
    <row r="47"/>
    <row r="48"/>
    <row r="49"/>
    <row r="50"/>
  </sheetData>
  <sheetProtection selectLockedCells="0" selectUnlockedCells="0" sheet="1" objects="0" insertRows="0" insertHyperlinks="1" autoFilter="1" scenarios="0" formatColumns="1" deleteColumns="1" insertColumns="1" pivotTables="1" deleteRows="0" formatCells="0" formatRows="1" sort="1"/>
  <mergeCells count="21">
    <mergeCell ref="C23:F23"/>
    <mergeCell ref="A27:F27"/>
    <mergeCell ref="B31:F31"/>
    <mergeCell ref="A12:F12"/>
    <mergeCell ref="A26:F26"/>
    <mergeCell ref="A5:F5"/>
    <mergeCell ref="A20:F20"/>
    <mergeCell ref="C24:F24"/>
    <mergeCell ref="A28:F28"/>
    <mergeCell ref="B38:F38"/>
    <mergeCell ref="A19:F19"/>
    <mergeCell ref="B34:F34"/>
    <mergeCell ref="B37:F37"/>
    <mergeCell ref="A30:F30"/>
    <mergeCell ref="C22:F22"/>
    <mergeCell ref="B33:F33"/>
    <mergeCell ref="A1:L1"/>
    <mergeCell ref="C21:F21"/>
    <mergeCell ref="B36:F36"/>
    <mergeCell ref="B32:F32"/>
    <mergeCell ref="B35:F35"/>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64.xml><?xml version="1.0" encoding="utf-8"?>
<worksheet xmlns="http://schemas.openxmlformats.org/spreadsheetml/2006/main">
  <sheetPr>
    <tabColor rgb="000071E3"/>
    <outlinePr summaryBelow="1" summaryRight="1"/>
    <pageSetUpPr fitToPage="1"/>
  </sheetPr>
  <dimension ref="A1:S50"/>
  <sheetViews>
    <sheetView workbookViewId="0">
      <selection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s>
  <sheetData>
    <row r="1" ht="32" customHeight="1">
      <c r="A1" s="21" t="inlineStr">
        <is>
          <t xml:space="preserve">  Alternative Data Intelligence    |    Search Trends  |  Mindshare  |  News Velocity  |  Developer Traction  — Leading Indicators</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ALTERNATIVE DATA COMPOSITE SIGNAL</t>
        </is>
      </c>
    </row>
    <row r="6">
      <c r="A6" s="467" t="inlineStr">
        <is>
          <t xml:space="preserve">  AAPL  |  Alt Data Signal: INSUFFICIENT DATA  |  Composite Score: 50%</t>
        </is>
      </c>
    </row>
    <row r="7">
      <c r="A7" s="251" t="inlineStr">
        <is>
          <t>Data Source</t>
        </is>
      </c>
      <c r="B7" s="251" t="inlineStr">
        <is>
          <t>Signal</t>
        </is>
      </c>
      <c r="C7" s="251" t="inlineStr">
        <is>
          <t>Status</t>
        </is>
      </c>
    </row>
    <row r="8">
      <c r="A8" s="348" t="inlineStr">
        <is>
          <t>Google Trends</t>
        </is>
      </c>
      <c r="B8" s="348" t="inlineStr">
        <is>
          <t>Search interest momentum</t>
        </is>
      </c>
      <c r="C8" s="348" t="inlineStr">
        <is>
          <t>Network unavailable</t>
        </is>
      </c>
    </row>
    <row r="9">
      <c r="A9" s="438" t="inlineStr">
        <is>
          <t>Wikipedia Page Views</t>
        </is>
      </c>
      <c r="B9" s="438" t="inlineStr">
        <is>
          <t>Mindshare &amp; public awareness</t>
        </is>
      </c>
      <c r="C9" s="438" t="inlineStr">
        <is>
          <t>Network unavailable</t>
        </is>
      </c>
    </row>
    <row r="10">
      <c r="A10" s="348" t="inlineStr">
        <is>
          <t>Google News RSS</t>
        </is>
      </c>
      <c r="B10" s="348" t="inlineStr">
        <is>
          <t>News velocity (articles/mo)</t>
        </is>
      </c>
      <c r="C10" s="348" t="inlineStr">
        <is>
          <t>Network unavailable</t>
        </is>
      </c>
    </row>
    <row r="11">
      <c r="A11" s="438" t="inlineStr">
        <is>
          <t>GitHub Stars</t>
        </is>
      </c>
      <c r="B11" s="438" t="inlineStr">
        <is>
          <t>Developer traction</t>
        </is>
      </c>
      <c r="C11" s="438" t="inlineStr">
        <is>
          <t>N/A (non-tech)</t>
        </is>
      </c>
    </row>
    <row r="12"/>
    <row r="13">
      <c r="A13" s="353" t="inlineStr">
        <is>
          <t xml:space="preserve">  2 — WIKIPEDIA PAGE VIEW TREND  (Public Mindshare Proxy)</t>
        </is>
      </c>
    </row>
    <row r="14">
      <c r="A14" s="23" t="inlineStr">
        <is>
          <t>Month</t>
        </is>
      </c>
      <c r="B14" s="23" t="inlineStr">
        <is>
          <t>Page Views</t>
        </is>
      </c>
      <c r="C14" s="23" t="inlineStr">
        <is>
          <t>vs Prior Mo</t>
        </is>
      </c>
      <c r="D14" s="23" t="inlineStr">
        <is>
          <t>Trend</t>
        </is>
      </c>
      <c r="E14" s="23" t="inlineStr"/>
      <c r="F14" s="23" t="inlineStr"/>
      <c r="G14" s="23" t="inlineStr"/>
    </row>
    <row r="15">
      <c r="A15" s="356" t="inlineStr">
        <is>
          <t xml:space="preserve">  Wikipedia data unavailable — requires network access to wikimedia.org API</t>
        </is>
      </c>
    </row>
    <row r="16"/>
    <row r="17">
      <c r="A17" s="314" t="inlineStr">
        <is>
          <t xml:space="preserve">  3 — NEWS VELOCITY  (Google News RSS — Articles per Month)</t>
        </is>
      </c>
    </row>
    <row r="18">
      <c r="A18" s="23" t="inlineStr">
        <is>
          <t>Month</t>
        </is>
      </c>
      <c r="B18" s="23" t="inlineStr">
        <is>
          <t>Articles</t>
        </is>
      </c>
      <c r="C18" s="23" t="inlineStr">
        <is>
          <t>vs Prior Mo</t>
        </is>
      </c>
      <c r="D18" s="23" t="inlineStr">
        <is>
          <t>Trend Bar</t>
        </is>
      </c>
      <c r="E18" s="23" t="inlineStr"/>
      <c r="F18" s="23" t="inlineStr"/>
      <c r="G18" s="23" t="inlineStr"/>
    </row>
    <row r="19">
      <c r="A19" s="356" t="inlineStr">
        <is>
          <t xml:space="preserve">  News velocity unavailable — requires network access to Google News RSS</t>
        </is>
      </c>
    </row>
    <row r="20"/>
    <row r="21">
      <c r="A21" s="464" t="inlineStr">
        <is>
          <t xml:space="preserve">  4 — GITHUB DEVELOPER TRACTION  (Tech Companies Only)</t>
        </is>
      </c>
    </row>
    <row r="22">
      <c r="A22" s="354" t="inlineStr">
        <is>
          <t xml:space="preserve">  Status</t>
        </is>
      </c>
      <c r="B22" s="357" t="inlineStr">
        <is>
          <t>Not a tech company, or GitHub data unavailable</t>
        </is>
      </c>
    </row>
    <row r="23">
      <c r="A23" s="354" t="inlineStr">
        <is>
          <t xml:space="preserve">  Note</t>
        </is>
      </c>
      <c r="B23" s="357" t="inlineStr">
        <is>
          <t>GitHub traction is most relevant for developer tools, SaaS, infrastructure</t>
        </is>
      </c>
    </row>
    <row r="24"/>
    <row r="25">
      <c r="A25" s="314" t="inlineStr">
        <is>
          <t xml:space="preserve">  5 — INVESTMENT EDGE  (Why Alt Data Beats Bloomberg)</t>
        </is>
      </c>
    </row>
    <row r="26">
      <c r="A26" s="354" t="inlineStr">
        <is>
          <t xml:space="preserve">  Timing advantage</t>
        </is>
      </c>
      <c r="B26" s="357" t="inlineStr">
        <is>
          <t>Alt data predicts fundamentals 1-2 quarters before the 10-K</t>
        </is>
      </c>
    </row>
    <row r="27">
      <c r="A27" s="354" t="inlineStr">
        <is>
          <t xml:space="preserve">  No Bloomberg needed</t>
        </is>
      </c>
      <c r="B27" s="357" t="inlineStr">
        <is>
          <t>All sources are public APIs — democratizes institutional-grade insight</t>
        </is>
      </c>
    </row>
    <row r="28">
      <c r="A28" s="354" t="inlineStr">
        <is>
          <t xml:space="preserve">  Search trends</t>
        </is>
      </c>
      <c r="B28" s="357" t="inlineStr">
        <is>
          <t>Rising search interest → brand awareness → future revenue growth</t>
        </is>
      </c>
    </row>
    <row r="29">
      <c r="A29" s="354" t="inlineStr">
        <is>
          <t xml:space="preserve">  Mindshare (Wiki)</t>
        </is>
      </c>
      <c r="B29" s="357" t="inlineStr">
        <is>
          <t>Page view acceleration → product launches, market events, virality</t>
        </is>
      </c>
    </row>
    <row r="30">
      <c r="A30" s="354" t="inlineStr">
        <is>
          <t xml:space="preserve">  News velocity</t>
        </is>
      </c>
      <c r="B30" s="357" t="inlineStr">
        <is>
          <t>Spike in articles → potential catalyst; sustained decline → fading relevance</t>
        </is>
      </c>
    </row>
    <row r="31">
      <c r="A31" s="354" t="inlineStr">
        <is>
          <t xml:space="preserve">  Developer traction</t>
        </is>
      </c>
      <c r="B31" s="357" t="inlineStr">
        <is>
          <t>GitHub stars grow faster than revenue for platform companies</t>
        </is>
      </c>
    </row>
    <row r="32">
      <c r="A32" s="354" t="inlineStr">
        <is>
          <t xml:space="preserve">  Composite signal</t>
        </is>
      </c>
      <c r="B32" s="357" t="inlineStr">
        <is>
          <t>All signals combined into ACCELERATING / STABLE / DECELERATING score</t>
        </is>
      </c>
    </row>
    <row r="33">
      <c r="A33" s="354" t="inlineStr">
        <is>
          <t xml:space="preserve">  Integration</t>
        </is>
      </c>
      <c r="B33" s="357" t="inlineStr">
        <is>
          <t>Alt data score can adjust DCF growth assumption up/down by ±1-2%</t>
        </is>
      </c>
    </row>
    <row r="34">
      <c r="A34" s="354" t="inlineStr">
        <is>
          <t xml:space="preserve">  Upgrade path</t>
        </is>
      </c>
      <c r="B34" s="357" t="inlineStr">
        <is>
          <t>Connect Sensor Tower (app downloads), SimilarWeb (web traffic), Second Measure (credit card spend) for institutional-grade alt data</t>
        </is>
      </c>
    </row>
    <row r="35"/>
    <row r="36"/>
    <row r="37"/>
    <row r="38"/>
    <row r="39"/>
    <row r="40"/>
    <row r="41"/>
    <row r="42"/>
    <row r="43"/>
    <row r="44"/>
    <row r="45"/>
    <row r="46"/>
    <row r="47"/>
    <row r="48"/>
    <row r="49"/>
    <row r="50"/>
  </sheetData>
  <sheetProtection selectLockedCells="0" selectUnlockedCells="0" sheet="1" objects="0" insertRows="0" insertHyperlinks="1" autoFilter="1" scenarios="0" formatColumns="1" deleteColumns="1" insertColumns="1" pivotTables="1" deleteRows="0" formatCells="0" formatRows="1" sort="1"/>
  <mergeCells count="20">
    <mergeCell ref="A17:G17"/>
    <mergeCell ref="B23:G23"/>
    <mergeCell ref="A19:G19"/>
    <mergeCell ref="B29:G29"/>
    <mergeCell ref="A13:G13"/>
    <mergeCell ref="B34:G34"/>
    <mergeCell ref="B28:G28"/>
    <mergeCell ref="A15:G15"/>
    <mergeCell ref="B30:G30"/>
    <mergeCell ref="B33:G33"/>
    <mergeCell ref="A6:G6"/>
    <mergeCell ref="B32:G32"/>
    <mergeCell ref="B26:G26"/>
    <mergeCell ref="A25:G25"/>
    <mergeCell ref="B22:G22"/>
    <mergeCell ref="A21:G21"/>
    <mergeCell ref="B31:G31"/>
    <mergeCell ref="A1:L1"/>
    <mergeCell ref="B27:G27"/>
    <mergeCell ref="A5:G5"/>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65.xml><?xml version="1.0" encoding="utf-8"?>
<worksheet xmlns="http://schemas.openxmlformats.org/spreadsheetml/2006/main">
  <sheetPr>
    <tabColor rgb="000071E3"/>
    <outlinePr summaryBelow="1" summaryRight="1"/>
    <pageSetUpPr fitToPage="1"/>
  </sheetPr>
  <dimension ref="A1:S50"/>
  <sheetViews>
    <sheetView showGridLines="0" workbookViewId="0">
      <pane ySplit="4" topLeftCell="A5" activePane="bottomLeft" state="frozen"/>
      <selection pane="bottomLeft" activeCell="A1" sqref="A1"/>
    </sheetView>
  </sheetViews>
  <sheetFormatPr baseColWidth="8" defaultRowHeight="15"/>
  <cols>
    <col width="28" customWidth="1" min="1" max="1"/>
    <col width="16" customWidth="1" min="2" max="2"/>
    <col width="16" customWidth="1" min="3" max="3"/>
    <col width="16" customWidth="1" min="4" max="4"/>
    <col width="36" customWidth="1" min="5" max="5"/>
    <col width="20" customWidth="1" min="6" max="6"/>
  </cols>
  <sheetData>
    <row r="1" ht="32" customHeight="1">
      <c r="A1" s="21" t="inlineStr">
        <is>
          <t xml:space="preserve">  Management Guidance Tracker    |    Company Guidance vs Model Assumptions vs Consensus | Historical Accuracy</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CURRENT GUIDANCE vs MODEL ASSUMPTIONS vs CONSENSUS</t>
        </is>
      </c>
    </row>
    <row r="6">
      <c r="A6" s="23" t="inlineStr">
        <is>
          <t>Metric</t>
        </is>
      </c>
      <c r="B6" s="468" t="inlineStr">
        <is>
          <t>Mgmt Guidance</t>
        </is>
      </c>
      <c r="C6" s="23" t="inlineStr">
        <is>
          <t>Model Assumption</t>
        </is>
      </c>
      <c r="D6" s="23" t="inlineStr">
        <is>
          <t>Consensus Est.</t>
        </is>
      </c>
      <c r="E6" s="23" t="inlineStr">
        <is>
          <t>Model vs Guidance</t>
        </is>
      </c>
      <c r="F6" s="23" t="inlineStr">
        <is>
          <t>Signal</t>
        </is>
      </c>
    </row>
    <row r="7">
      <c r="A7" s="335" t="inlineStr">
        <is>
          <t>Revenue Growth (NTM)</t>
        </is>
      </c>
      <c r="B7" s="469" t="n"/>
      <c r="C7" s="470" t="n">
        <v>0.075</v>
      </c>
      <c r="D7" s="471" t="n"/>
      <c r="E7" s="472" t="n"/>
      <c r="F7" s="473" t="inlineStr">
        <is>
          <t>— enter guidance —</t>
        </is>
      </c>
    </row>
    <row r="8">
      <c r="A8" s="335" t="inlineStr">
        <is>
          <t>EBITDA Margin (NTM)</t>
        </is>
      </c>
      <c r="B8" s="469" t="n"/>
      <c r="C8" s="470" t="n">
        <v>0.324</v>
      </c>
      <c r="D8" s="471" t="n"/>
      <c r="E8" s="472" t="n"/>
      <c r="F8" s="473" t="inlineStr">
        <is>
          <t>— enter guidance —</t>
        </is>
      </c>
    </row>
    <row r="9">
      <c r="A9" s="335" t="inlineStr">
        <is>
          <t>CapEx / Revenue</t>
        </is>
      </c>
      <c r="B9" s="469" t="n"/>
      <c r="C9" s="470" t="n">
        <v>0.024</v>
      </c>
      <c r="D9" s="471" t="n"/>
      <c r="E9" s="472" t="n"/>
      <c r="F9" s="473" t="inlineStr">
        <is>
          <t>— enter guidance —</t>
        </is>
      </c>
    </row>
    <row r="10">
      <c r="A10" s="335" t="inlineStr">
        <is>
          <t>Revenue ($M, NTM)</t>
        </is>
      </c>
      <c r="B10" s="474" t="n"/>
      <c r="C10" s="336" t="n">
        <v>420362.625</v>
      </c>
      <c r="D10" s="475" t="n"/>
      <c r="E10" s="476" t="n"/>
      <c r="F10" s="473" t="inlineStr">
        <is>
          <t>— enter guidance —</t>
        </is>
      </c>
    </row>
    <row r="11">
      <c r="A11" s="335" t="inlineStr">
        <is>
          <t>EBITDA ($M, NTM)</t>
        </is>
      </c>
      <c r="B11" s="477" t="n"/>
      <c r="C11" s="336" t="n">
        <v>124006.974375</v>
      </c>
      <c r="D11" s="475" t="n"/>
      <c r="E11" s="476" t="n"/>
      <c r="F11" s="473" t="inlineStr">
        <is>
          <t>— enter guidance —</t>
        </is>
      </c>
    </row>
    <row r="12"/>
    <row r="13">
      <c r="A13" s="478" t="inlineStr">
        <is>
          <t xml:space="preserve">  ↑ Yellow cells = enter management guidance from most recent earnings call / investor day</t>
        </is>
      </c>
    </row>
    <row r="14"/>
    <row r="15">
      <c r="A15" s="314" t="inlineStr">
        <is>
          <t xml:space="preserve">  2 — HISTORICAL GUIDANCE ACCURACY  (actual vs guided, last 8 quarters)</t>
        </is>
      </c>
    </row>
    <row r="16">
      <c r="A16" s="23" t="inlineStr">
        <is>
          <t>Period</t>
        </is>
      </c>
      <c r="B16" s="23" t="inlineStr">
        <is>
          <t>Metric</t>
        </is>
      </c>
      <c r="C16" s="23" t="inlineStr">
        <is>
          <t>Guided</t>
        </is>
      </c>
      <c r="D16" s="23" t="inlineStr">
        <is>
          <t>Actual</t>
        </is>
      </c>
      <c r="E16" s="23" t="inlineStr">
        <is>
          <t>Accuracy %</t>
        </is>
      </c>
      <c r="F16" s="23" t="inlineStr">
        <is>
          <t>Beat/Miss/In Line</t>
        </is>
      </c>
    </row>
    <row r="17">
      <c r="A17" s="317" t="inlineStr">
        <is>
          <t xml:space="preserve">  Earnings surprise history unavailable — enter historical guidance manually in rows below</t>
        </is>
      </c>
    </row>
    <row r="18">
      <c r="A18" s="479" t="inlineStr"/>
      <c r="B18" s="479" t="inlineStr"/>
      <c r="C18" s="479" t="inlineStr"/>
      <c r="D18" s="479" t="inlineStr"/>
      <c r="E18" s="479" t="inlineStr"/>
      <c r="F18" s="479" t="inlineStr"/>
    </row>
    <row r="19">
      <c r="A19" s="479" t="inlineStr"/>
      <c r="B19" s="479" t="inlineStr"/>
      <c r="C19" s="479" t="inlineStr"/>
      <c r="D19" s="479" t="inlineStr"/>
      <c r="E19" s="479" t="inlineStr"/>
      <c r="F19" s="479" t="inlineStr"/>
    </row>
    <row r="20">
      <c r="A20" s="479" t="inlineStr"/>
      <c r="B20" s="479" t="inlineStr"/>
      <c r="C20" s="479" t="inlineStr"/>
      <c r="D20" s="479" t="inlineStr"/>
      <c r="E20" s="479" t="inlineStr"/>
      <c r="F20" s="479" t="inlineStr"/>
    </row>
    <row r="21">
      <c r="A21" s="479" t="inlineStr"/>
      <c r="B21" s="479" t="inlineStr"/>
      <c r="C21" s="479" t="inlineStr"/>
      <c r="D21" s="479" t="inlineStr"/>
      <c r="E21" s="479" t="inlineStr"/>
      <c r="F21" s="479" t="inlineStr"/>
    </row>
    <row r="22">
      <c r="A22" s="479" t="inlineStr"/>
      <c r="B22" s="479" t="inlineStr"/>
      <c r="C22" s="479" t="inlineStr"/>
      <c r="D22" s="479" t="inlineStr"/>
      <c r="E22" s="479" t="inlineStr"/>
      <c r="F22" s="479" t="inlineStr"/>
    </row>
    <row r="23">
      <c r="A23" s="479" t="inlineStr"/>
      <c r="B23" s="479" t="inlineStr"/>
      <c r="C23" s="479" t="inlineStr"/>
      <c r="D23" s="479" t="inlineStr"/>
      <c r="E23" s="479" t="inlineStr"/>
      <c r="F23" s="479" t="inlineStr"/>
    </row>
    <row r="24">
      <c r="A24" s="479" t="inlineStr"/>
      <c r="B24" s="479" t="inlineStr"/>
      <c r="C24" s="479" t="inlineStr"/>
      <c r="D24" s="479" t="inlineStr"/>
      <c r="E24" s="479" t="inlineStr"/>
      <c r="F24" s="479" t="inlineStr"/>
    </row>
    <row r="25">
      <c r="A25" s="479" t="inlineStr"/>
      <c r="B25" s="479" t="inlineStr"/>
      <c r="C25" s="479" t="inlineStr"/>
      <c r="D25" s="479" t="inlineStr"/>
      <c r="E25" s="479" t="inlineStr"/>
      <c r="F25" s="479" t="inlineStr"/>
    </row>
    <row r="26"/>
    <row r="27"/>
    <row r="28">
      <c r="A28" s="314" t="inlineStr">
        <is>
          <t xml:space="preserve">  3 — KEY CATALYST CALENDAR  (upcoming events that could move estimates)</t>
        </is>
      </c>
    </row>
    <row r="29">
      <c r="A29" s="23" t="inlineStr">
        <is>
          <t>Event</t>
        </is>
      </c>
      <c r="B29" s="23" t="inlineStr">
        <is>
          <t>Expected Date</t>
        </is>
      </c>
      <c r="C29" s="23" t="inlineStr">
        <is>
          <t>Impact</t>
        </is>
      </c>
      <c r="D29" s="23" t="inlineStr">
        <is>
          <t>Direction Risk</t>
        </is>
      </c>
      <c r="E29" s="23" t="inlineStr">
        <is>
          <t>Notes</t>
        </is>
      </c>
    </row>
    <row r="30">
      <c r="A30" s="480" t="inlineStr">
        <is>
          <t>iPhone 17 launch with Apple Intelligence</t>
        </is>
      </c>
      <c r="B30" s="481" t="inlineStr">
        <is>
          <t>2025-09</t>
        </is>
      </c>
      <c r="C30" s="482" t="inlineStr">
        <is>
          <t>HIGH</t>
        </is>
      </c>
      <c r="D30" s="483" t="inlineStr">
        <is>
          <t>UP</t>
        </is>
      </c>
      <c r="E30" s="484" t="inlineStr"/>
    </row>
    <row r="31">
      <c r="A31" s="480" t="inlineStr">
        <is>
          <t>Holiday quarter Services acceleration</t>
        </is>
      </c>
      <c r="B31" s="481" t="inlineStr">
        <is>
          <t>2025-12</t>
        </is>
      </c>
      <c r="C31" s="485" t="inlineStr">
        <is>
          <t>MEDIUM</t>
        </is>
      </c>
      <c r="D31" s="483" t="inlineStr">
        <is>
          <t>UP</t>
        </is>
      </c>
      <c r="E31" s="484" t="inlineStr"/>
    </row>
    <row r="32">
      <c r="A32" s="480" t="inlineStr">
        <is>
          <t>India manufacturing ramp to 25% of iPhone production</t>
        </is>
      </c>
      <c r="B32" s="481" t="inlineStr">
        <is>
          <t>2026-03</t>
        </is>
      </c>
      <c r="C32" s="485" t="inlineStr">
        <is>
          <t>MEDIUM</t>
        </is>
      </c>
      <c r="D32" s="483" t="inlineStr">
        <is>
          <t>UP</t>
        </is>
      </c>
      <c r="E32" s="484" t="inlineStr"/>
    </row>
    <row r="33">
      <c r="A33" s="480" t="inlineStr">
        <is>
          <t>EU DMA compliance ruling on App Store</t>
        </is>
      </c>
      <c r="B33" s="481" t="inlineStr">
        <is>
          <t>2025-10</t>
        </is>
      </c>
      <c r="C33" s="485" t="inlineStr">
        <is>
          <t>MEDIUM</t>
        </is>
      </c>
      <c r="D33" s="483" t="inlineStr">
        <is>
          <t>DOWN</t>
        </is>
      </c>
      <c r="E33" s="484" t="inlineStr"/>
    </row>
    <row r="34">
      <c r="A34" s="480" t="inlineStr">
        <is>
          <t>WWDC 2026 AI feature showcase</t>
        </is>
      </c>
      <c r="B34" s="481" t="inlineStr">
        <is>
          <t>2026-06</t>
        </is>
      </c>
      <c r="C34" s="482" t="inlineStr">
        <is>
          <t>HIGH</t>
        </is>
      </c>
      <c r="D34" s="483" t="inlineStr">
        <is>
          <t>UP</t>
        </is>
      </c>
      <c r="E34" s="484" t="inlineStr"/>
    </row>
    <row r="35"/>
    <row r="36"/>
    <row r="37"/>
    <row r="38"/>
    <row r="39"/>
    <row r="40"/>
    <row r="41"/>
    <row r="42"/>
    <row r="43"/>
    <row r="44"/>
    <row r="45"/>
    <row r="46"/>
    <row r="47"/>
    <row r="48"/>
    <row r="49"/>
    <row r="50"/>
  </sheetData>
  <sheetProtection selectLockedCells="0" selectUnlockedCells="0" sheet="1" objects="0" insertRows="0" insertHyperlinks="1" autoFilter="1" scenarios="0" formatColumns="1" deleteColumns="1" insertColumns="1" pivotTables="1" deleteRows="0" formatCells="0" formatRows="1" sort="1"/>
  <mergeCells count="6">
    <mergeCell ref="A28:F28"/>
    <mergeCell ref="A13:F13"/>
    <mergeCell ref="A5:F5"/>
    <mergeCell ref="A1:L1"/>
    <mergeCell ref="A17:F17"/>
    <mergeCell ref="A15:F15"/>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rowBreaks count="1" manualBreakCount="1">
    <brk id="20" min="0" max="16383" man="1"/>
  </rowBreaks>
</worksheet>
</file>

<file path=xl/worksheets/sheet66.xml><?xml version="1.0" encoding="utf-8"?>
<worksheet xmlns="http://schemas.openxmlformats.org/spreadsheetml/2006/main">
  <sheetPr>
    <tabColor rgb="000071E3"/>
    <outlinePr summaryBelow="1" summaryRight="1"/>
    <pageSetUpPr fitToPage="1"/>
  </sheetPr>
  <dimension ref="A1:S50"/>
  <sheetViews>
    <sheetView showGridLines="0"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2" customWidth="1" min="4" max="4"/>
    <col width="12" customWidth="1" min="5" max="5"/>
    <col width="16" customWidth="1" min="6" max="6"/>
    <col width="16" customWidth="1" min="7" max="7"/>
  </cols>
  <sheetData>
    <row r="1" ht="32" customHeight="1">
      <c r="A1" s="21" t="inlineStr">
        <is>
          <t xml:space="preserve">  Capital Structure Optimizer    |    Leverage vs WACC | Optimal Structure | Refinancing Scenario | EV Sensitivity</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CURRENT CAPITAL STRUCTURE</t>
        </is>
      </c>
    </row>
    <row r="6">
      <c r="A6" s="309" t="inlineStr">
        <is>
          <t>Market Capitalization ($M)</t>
        </is>
      </c>
      <c r="B6" s="486" t="n">
        <v>3240000</v>
      </c>
    </row>
    <row r="7">
      <c r="A7" s="309" t="inlineStr">
        <is>
          <t>Total Debt ($M)</t>
        </is>
      </c>
      <c r="B7" s="486" t="n">
        <v>101304</v>
      </c>
    </row>
    <row r="8">
      <c r="A8" s="309" t="inlineStr">
        <is>
          <t>Cash &amp; Equivalents ($M)</t>
        </is>
      </c>
      <c r="B8" s="486" t="n">
        <v>35934</v>
      </c>
    </row>
    <row r="9">
      <c r="A9" s="309" t="inlineStr">
        <is>
          <t>Net Debt ($M)</t>
        </is>
      </c>
      <c r="B9" s="486" t="n">
        <v>65370</v>
      </c>
    </row>
    <row r="10">
      <c r="A10" s="309" t="inlineStr">
        <is>
          <t>Enterprise Value ($M)</t>
        </is>
      </c>
      <c r="B10" s="486" t="n">
        <v>3305370</v>
      </c>
    </row>
    <row r="11">
      <c r="A11" s="309" t="inlineStr">
        <is>
          <t>Net Debt / EBITDA</t>
        </is>
      </c>
      <c r="B11" s="487" t="n">
        <v>0.485405172605832</v>
      </c>
    </row>
    <row r="12">
      <c r="A12" s="309" t="inlineStr">
        <is>
          <t>Interest Coverage (EBIT/Int)</t>
        </is>
      </c>
      <c r="B12" s="487" t="n">
        <v>24.3259891021085</v>
      </c>
    </row>
    <row r="13">
      <c r="A13" s="309" t="inlineStr">
        <is>
          <t>Current WACC</t>
        </is>
      </c>
      <c r="B13" s="488" t="n">
        <v>0.082</v>
      </c>
    </row>
    <row r="14">
      <c r="A14" s="309" t="inlineStr">
        <is>
          <t>Implied Ke (Cost of Equity)</t>
        </is>
      </c>
      <c r="B14" s="488" t="n">
        <v>0.1132</v>
      </c>
    </row>
    <row r="15"/>
    <row r="16">
      <c r="A16" s="314" t="inlineStr">
        <is>
          <t xml:space="preserve">  2 — LEVERAGE vs WACC  (Net Debt/EBITDA from 0x to 6x)</t>
        </is>
      </c>
    </row>
    <row r="17">
      <c r="A17" s="23" t="inlineStr">
        <is>
          <t>Net Debt/EBITDA</t>
        </is>
      </c>
      <c r="B17" s="23" t="inlineStr">
        <is>
          <t>Debt ($M)</t>
        </is>
      </c>
      <c r="C17" s="23" t="inlineStr">
        <is>
          <t>Ke</t>
        </is>
      </c>
      <c r="D17" s="23" t="inlineStr">
        <is>
          <t>Kd (pre-tax)</t>
        </is>
      </c>
      <c r="E17" s="23" t="inlineStr">
        <is>
          <t>WACC</t>
        </is>
      </c>
      <c r="F17" s="23" t="inlineStr">
        <is>
          <t>EV Implied ($M)</t>
        </is>
      </c>
      <c r="G17" s="23" t="inlineStr">
        <is>
          <t>Signal</t>
        </is>
      </c>
    </row>
    <row r="18">
      <c r="A18" s="489" t="inlineStr">
        <is>
          <t>0.0x</t>
        </is>
      </c>
      <c r="B18" s="490" t="n">
        <v>0</v>
      </c>
      <c r="C18" s="491" t="n">
        <v>0.1132</v>
      </c>
      <c r="D18" s="491" t="n">
        <v>0.055</v>
      </c>
      <c r="E18" s="491" t="n">
        <v>0.1132</v>
      </c>
      <c r="F18" s="490" t="n">
        <v>1395016.634615385</v>
      </c>
      <c r="G18" s="489" t="inlineStr">
        <is>
          <t>★ CURRENT</t>
        </is>
      </c>
    </row>
    <row r="19">
      <c r="A19" s="489" t="inlineStr">
        <is>
          <t>0.5x</t>
        </is>
      </c>
      <c r="B19" s="490" t="n">
        <v>67335.5</v>
      </c>
      <c r="C19" s="491" t="n">
        <v>0.1144033477326852</v>
      </c>
      <c r="D19" s="491" t="n">
        <v>0.055</v>
      </c>
      <c r="E19" s="491" t="n">
        <v>0.1130248436623379</v>
      </c>
      <c r="F19" s="490" t="n">
        <v>1397959.681466406</v>
      </c>
      <c r="G19" s="489" t="inlineStr">
        <is>
          <t>★ CURRENT</t>
        </is>
      </c>
    </row>
    <row r="20">
      <c r="A20" s="489" t="inlineStr">
        <is>
          <t>1.0x</t>
        </is>
      </c>
      <c r="B20" s="490" t="n">
        <v>134671</v>
      </c>
      <c r="C20" s="491" t="n">
        <v>0.1156066954653704</v>
      </c>
      <c r="D20" s="491" t="n">
        <v>0.055</v>
      </c>
      <c r="E20" s="491" t="n">
        <v>0.1128566771850648</v>
      </c>
      <c r="F20" s="490" t="n">
        <v>1400796.989972959</v>
      </c>
      <c r="G20" s="489" t="inlineStr">
        <is>
          <t>OPTIMAL</t>
        </is>
      </c>
    </row>
    <row r="21">
      <c r="A21" s="489" t="inlineStr">
        <is>
          <t>1.5x</t>
        </is>
      </c>
      <c r="B21" s="490" t="n">
        <v>202006.5</v>
      </c>
      <c r="C21" s="491" t="n">
        <v>0.1168100431980556</v>
      </c>
      <c r="D21" s="491" t="n">
        <v>0.055</v>
      </c>
      <c r="E21" s="491" t="n">
        <v>0.1126950903431472</v>
      </c>
      <c r="F21" s="490" t="n">
        <v>1403534.15805438</v>
      </c>
      <c r="G21" s="489" t="inlineStr">
        <is>
          <t>OPTIMAL</t>
        </is>
      </c>
    </row>
    <row r="22">
      <c r="A22" s="489" t="inlineStr">
        <is>
          <t>2.0x</t>
        </is>
      </c>
      <c r="B22" s="490" t="n">
        <v>269342</v>
      </c>
      <c r="C22" s="491" t="n">
        <v>0.1180133909307407</v>
      </c>
      <c r="D22" s="491" t="n">
        <v>0.055</v>
      </c>
      <c r="E22" s="491" t="n">
        <v>0.1125397043963227</v>
      </c>
      <c r="F22" s="490" t="n">
        <v>1406176.395334545</v>
      </c>
      <c r="G22" s="489" t="inlineStr">
        <is>
          <t>OPTIMAL</t>
        </is>
      </c>
    </row>
    <row r="23">
      <c r="A23" s="492" t="inlineStr">
        <is>
          <t>2.5x</t>
        </is>
      </c>
      <c r="B23" s="493" t="n">
        <v>336677.5</v>
      </c>
      <c r="C23" s="470" t="n">
        <v>0.1192167386634259</v>
      </c>
      <c r="D23" s="470" t="n">
        <v>0.059</v>
      </c>
      <c r="E23" s="470" t="n">
        <v>0.1127098392074768</v>
      </c>
      <c r="F23" s="493" t="n">
        <v>1403283.879066083</v>
      </c>
      <c r="G23" s="492" t="inlineStr"/>
    </row>
    <row r="24">
      <c r="A24" s="492" t="inlineStr">
        <is>
          <t>3.0x</t>
        </is>
      </c>
      <c r="B24" s="493" t="n">
        <v>404013</v>
      </c>
      <c r="C24" s="470" t="n">
        <v>0.1204200863961111</v>
      </c>
      <c r="D24" s="470" t="n">
        <v>0.063</v>
      </c>
      <c r="E24" s="470" t="n">
        <v>0.112999191620447</v>
      </c>
      <c r="F24" s="493" t="n">
        <v>1398391.740136022</v>
      </c>
      <c r="G24" s="492" t="inlineStr"/>
    </row>
    <row r="25">
      <c r="A25" s="492" t="inlineStr">
        <is>
          <t>3.5x</t>
        </is>
      </c>
      <c r="B25" s="493" t="n">
        <v>471348.5</v>
      </c>
      <c r="C25" s="470" t="n">
        <v>0.1216234341287963</v>
      </c>
      <c r="D25" s="470" t="n">
        <v>0.067</v>
      </c>
      <c r="E25" s="470" t="n">
        <v>0.1134012726917992</v>
      </c>
      <c r="F25" s="493" t="n">
        <v>1391650.034273549</v>
      </c>
      <c r="G25" s="492" t="inlineStr"/>
    </row>
    <row r="26">
      <c r="A26" s="492" t="inlineStr">
        <is>
          <t>4.0x</t>
        </is>
      </c>
      <c r="B26" s="493" t="n">
        <v>538684</v>
      </c>
      <c r="C26" s="470" t="n">
        <v>0.1228267818614815</v>
      </c>
      <c r="D26" s="470" t="n">
        <v>0.07100000000000001</v>
      </c>
      <c r="E26" s="470" t="n">
        <v>0.11391005600553</v>
      </c>
      <c r="F26" s="493" t="n">
        <v>1383211.852371436</v>
      </c>
      <c r="G26" s="492" t="inlineStr"/>
    </row>
    <row r="27">
      <c r="A27" s="492" t="inlineStr">
        <is>
          <t>5.0x</t>
        </is>
      </c>
      <c r="B27" s="493" t="n">
        <v>673355</v>
      </c>
      <c r="C27" s="470" t="n">
        <v>0.1252334773268519</v>
      </c>
      <c r="D27" s="470" t="n">
        <v>0.079</v>
      </c>
      <c r="E27" s="470" t="n">
        <v>0.115225697577654</v>
      </c>
      <c r="F27" s="493" t="n">
        <v>1361859.00847859</v>
      </c>
      <c r="G27" s="492" t="inlineStr"/>
    </row>
    <row r="28">
      <c r="A28" s="492" t="inlineStr">
        <is>
          <t>6.0x</t>
        </is>
      </c>
      <c r="B28" s="493" t="n">
        <v>808026</v>
      </c>
      <c r="C28" s="470" t="n">
        <v>0.1276401727922222</v>
      </c>
      <c r="D28" s="470" t="n">
        <v>0.08699999999999999</v>
      </c>
      <c r="E28" s="470" t="n">
        <v>0.1169057175731579</v>
      </c>
      <c r="F28" s="493" t="n">
        <v>1335532.1978936</v>
      </c>
      <c r="G28" s="492" t="inlineStr"/>
    </row>
    <row r="29"/>
    <row r="30">
      <c r="A30" s="306" t="inlineStr">
        <is>
          <t xml:space="preserve">  ★ Optimal leverage (WACC-minimizing): 2.0x Net Debt/EBITDA  →  WACC = 11.3%  vs Current 8.2%  (+3.1bps)</t>
        </is>
      </c>
    </row>
    <row r="31"/>
    <row r="32">
      <c r="A32" s="314" t="inlineStr">
        <is>
          <t xml:space="preserve">  3 — REFINANCING SCENARIO  (impact of repricing debt at current rates)</t>
        </is>
      </c>
    </row>
    <row r="33">
      <c r="A33" s="309" t="inlineStr">
        <is>
          <t>Current Avg Coupon (assumed)</t>
        </is>
      </c>
      <c r="B33" s="494" t="n">
        <v>0.055</v>
      </c>
    </row>
    <row r="34">
      <c r="A34" s="309" t="inlineStr">
        <is>
          <t>Market Rate (10Y + 150bps)</t>
        </is>
      </c>
      <c r="B34" s="494" t="n">
        <v>0.06</v>
      </c>
    </row>
    <row r="35">
      <c r="A35" s="309" t="inlineStr">
        <is>
          <t>Rate Change</t>
        </is>
      </c>
      <c r="B35" s="495" t="n">
        <v>0.004999999999999998</v>
      </c>
    </row>
    <row r="36">
      <c r="A36" s="309" t="inlineStr">
        <is>
          <t>Current Interest Expense ($M)</t>
        </is>
      </c>
      <c r="B36" s="496" t="n">
        <v>5571.72</v>
      </c>
    </row>
    <row r="37">
      <c r="A37" s="309" t="inlineStr">
        <is>
          <t>Pro-Forma Interest ($M)</t>
        </is>
      </c>
      <c r="B37" s="496" t="n">
        <v>6078.24</v>
      </c>
    </row>
    <row r="38">
      <c r="A38" s="309" t="inlineStr">
        <is>
          <t>Annual Interest Change ($M)</t>
        </is>
      </c>
      <c r="B38" s="497" t="n">
        <v>506.52</v>
      </c>
    </row>
    <row r="39">
      <c r="A39" s="309" t="inlineStr">
        <is>
          <t>EPS Impact (after-tax, est.)</t>
        </is>
      </c>
      <c r="B39" s="498" t="n">
        <v>-0.02910904431384813</v>
      </c>
    </row>
    <row r="40">
      <c r="A40" s="309" t="inlineStr">
        <is>
          <t>WACC Impact</t>
        </is>
      </c>
      <c r="B40" s="499" t="n">
        <v>0.0001515935095998448</v>
      </c>
    </row>
    <row r="41"/>
    <row r="42"/>
    <row r="43">
      <c r="A43" s="314" t="inlineStr">
        <is>
          <t xml:space="preserve">  4 — EV SENSITIVITY: WACC × NET LEVERAGE  (EV/EBITDA implied)</t>
        </is>
      </c>
    </row>
    <row r="44">
      <c r="A44" s="295" t="inlineStr">
        <is>
          <t>WACC \ Net Lev</t>
        </is>
      </c>
      <c r="B44" s="315" t="inlineStr">
        <is>
          <t>0x Lev</t>
        </is>
      </c>
      <c r="C44" s="315" t="inlineStr">
        <is>
          <t>1x Lev</t>
        </is>
      </c>
      <c r="D44" s="315" t="inlineStr">
        <is>
          <t>2x Lev</t>
        </is>
      </c>
      <c r="E44" s="315" t="inlineStr">
        <is>
          <t>3x Lev</t>
        </is>
      </c>
      <c r="F44" s="315" t="inlineStr">
        <is>
          <t>4x Lev</t>
        </is>
      </c>
    </row>
    <row r="45">
      <c r="A45" s="315" t="inlineStr">
        <is>
          <t>7% WACC</t>
        </is>
      </c>
      <c r="B45" s="500" t="n">
        <v>12</v>
      </c>
      <c r="C45" s="500" t="n">
        <v>12.1</v>
      </c>
      <c r="D45" s="500" t="n">
        <v>12.1</v>
      </c>
      <c r="E45" s="500" t="n">
        <v>12</v>
      </c>
      <c r="F45" s="500" t="n">
        <v>11.9</v>
      </c>
    </row>
    <row r="46">
      <c r="A46" s="315" t="inlineStr">
        <is>
          <t>8% WACC</t>
        </is>
      </c>
      <c r="B46" s="501" t="n">
        <v>12</v>
      </c>
      <c r="C46" s="501" t="n">
        <v>12.1</v>
      </c>
      <c r="D46" s="501" t="n">
        <v>12.1</v>
      </c>
      <c r="E46" s="501" t="n">
        <v>12</v>
      </c>
      <c r="F46" s="501" t="n">
        <v>11.9</v>
      </c>
    </row>
    <row r="47">
      <c r="A47" s="315" t="inlineStr">
        <is>
          <t>9% WACC</t>
        </is>
      </c>
      <c r="B47" s="502" t="n">
        <v>12</v>
      </c>
      <c r="C47" s="502" t="n">
        <v>12.1</v>
      </c>
      <c r="D47" s="502" t="n">
        <v>12.1</v>
      </c>
      <c r="E47" s="502" t="n">
        <v>12</v>
      </c>
      <c r="F47" s="502" t="n">
        <v>11.9</v>
      </c>
    </row>
    <row r="48">
      <c r="A48" s="315" t="inlineStr">
        <is>
          <t>10% WACC</t>
        </is>
      </c>
      <c r="B48" s="503" t="n">
        <v>12</v>
      </c>
      <c r="C48" s="503" t="n">
        <v>12.1</v>
      </c>
      <c r="D48" s="503" t="n">
        <v>12.1</v>
      </c>
      <c r="E48" s="503" t="n">
        <v>12</v>
      </c>
      <c r="F48" s="503" t="n">
        <v>11.9</v>
      </c>
    </row>
    <row r="49">
      <c r="A49" s="315" t="inlineStr">
        <is>
          <t>11% WACC</t>
        </is>
      </c>
      <c r="B49" s="503" t="n">
        <v>12</v>
      </c>
      <c r="C49" s="503" t="n">
        <v>12.1</v>
      </c>
      <c r="D49" s="503" t="n">
        <v>12.1</v>
      </c>
      <c r="E49" s="503" t="n">
        <v>12</v>
      </c>
      <c r="F49" s="503" t="n">
        <v>11.9</v>
      </c>
    </row>
    <row r="50">
      <c r="A50" s="315" t="inlineStr">
        <is>
          <t>12% WACC</t>
        </is>
      </c>
      <c r="B50" s="503" t="n">
        <v>12</v>
      </c>
      <c r="C50" s="503" t="n">
        <v>12.1</v>
      </c>
      <c r="D50" s="503" t="n">
        <v>12.1</v>
      </c>
      <c r="E50" s="503" t="n">
        <v>12</v>
      </c>
      <c r="F50" s="503" t="n">
        <v>11.9</v>
      </c>
    </row>
  </sheetData>
  <sheetProtection selectLockedCells="0" selectUnlockedCells="0" sheet="1" objects="0" insertRows="0" insertHyperlinks="1" autoFilter="1" scenarios="0" formatColumns="1" deleteColumns="1" insertColumns="1" pivotTables="1" deleteRows="0" formatCells="0" formatRows="1" sort="1"/>
  <mergeCells count="6">
    <mergeCell ref="A32:G32"/>
    <mergeCell ref="A1:L1"/>
    <mergeCell ref="A30:G30"/>
    <mergeCell ref="A16:G16"/>
    <mergeCell ref="A43:G43"/>
    <mergeCell ref="A5:G5"/>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rowBreaks count="1" manualBreakCount="1">
    <brk id="35" min="0" max="16383" man="1"/>
  </rowBreaks>
</worksheet>
</file>

<file path=xl/worksheets/sheet67.xml><?xml version="1.0" encoding="utf-8"?>
<worksheet xmlns="http://schemas.openxmlformats.org/spreadsheetml/2006/main">
  <sheetPr>
    <tabColor rgb="000071E3"/>
    <outlinePr summaryBelow="1" summaryRight="1"/>
    <pageSetUpPr fitToPage="1"/>
  </sheetPr>
  <dimension ref="A1:S67"/>
  <sheetViews>
    <sheetView showGridLines="0" workbookViewId="0">
      <pane ySplit="4" topLeftCell="A5" activePane="bottomLeft" state="frozen"/>
      <selection pane="bottomLeft" activeCell="A1" sqref="A1"/>
    </sheetView>
  </sheetViews>
  <sheetFormatPr baseColWidth="8" defaultRowHeight="15"/>
  <cols>
    <col width="22" customWidth="1" min="1" max="1"/>
    <col width="22" customWidth="1" min="2" max="2"/>
    <col width="12" customWidth="1" min="3" max="3"/>
    <col width="16" customWidth="1" min="4" max="4"/>
    <col width="14" customWidth="1" min="5" max="5"/>
    <col width="22" customWidth="1" min="6" max="6"/>
  </cols>
  <sheetData>
    <row r="1" ht="32" customHeight="1">
      <c r="A1" s="21" t="inlineStr">
        <is>
          <t xml:space="preserve">  Model Audit &amp; Governance    |    Internal Use Only — Model Metadata, Assumption Review &amp; Sign-Off</t>
        </is>
      </c>
    </row>
    <row r="2" ht="14" customHeight="1">
      <c r="A2" s="22" t="inlineStr">
        <is>
          <t>Cover</t>
        </is>
      </c>
      <c r="B2" s="22" t="inlineStr">
        <is>
          <t>TOC</t>
        </is>
      </c>
      <c r="C2" s="22" t="inlineStr">
        <is>
          <t>Scorecard</t>
        </is>
      </c>
      <c r="D2" s="22" t="inlineStr">
        <is>
          <t>Price Tgt</t>
        </is>
      </c>
      <c r="E2" s="22" t="inlineStr">
        <is>
          <t>DCF</t>
        </is>
      </c>
      <c r="F2" s="22" t="inlineStr">
        <is>
          <t>Comps</t>
        </is>
      </c>
      <c r="G2" s="22" t="inlineStr">
        <is>
          <t>Football</t>
        </is>
      </c>
      <c r="H2" s="22" t="inlineStr">
        <is>
          <t>3-Stmt</t>
        </is>
      </c>
      <c r="I2" s="22" t="inlineStr">
        <is>
          <t>Segments</t>
        </is>
      </c>
      <c r="J2" s="22" t="inlineStr">
        <is>
          <t>Credit</t>
        </is>
      </c>
      <c r="K2" s="10" t="n"/>
      <c r="L2" s="10" t="n"/>
      <c r="M2" s="10" t="n"/>
      <c r="N2" s="10" t="n"/>
      <c r="O2" s="10" t="n"/>
      <c r="P2" s="10" t="n"/>
      <c r="Q2" s="10" t="n"/>
      <c r="R2" s="10" t="n"/>
      <c r="S2" s="10" t="n"/>
    </row>
    <row r="3"/>
    <row r="4"/>
    <row r="5">
      <c r="A5" s="314" t="inlineStr">
        <is>
          <t xml:space="preserve">  1 — MODEL METADATA</t>
        </is>
      </c>
    </row>
    <row r="6">
      <c r="A6" s="31" t="inlineStr">
        <is>
          <t>Company</t>
        </is>
      </c>
      <c r="B6" s="504" t="inlineStr">
        <is>
          <t>AAPL</t>
        </is>
      </c>
    </row>
    <row r="7">
      <c r="A7" s="31" t="inlineStr">
        <is>
          <t>Ticker</t>
        </is>
      </c>
      <c r="B7" s="504" t="inlineStr">
        <is>
          <t>AAPL</t>
        </is>
      </c>
    </row>
    <row r="8">
      <c r="A8" s="31" t="inlineStr">
        <is>
          <t>Sector / Industry</t>
        </is>
      </c>
      <c r="B8" s="504" t="inlineStr">
        <is>
          <t>Technology</t>
        </is>
      </c>
    </row>
    <row r="9">
      <c r="A9" s="31" t="inlineStr">
        <is>
          <t>Model Version</t>
        </is>
      </c>
      <c r="B9" s="504" t="inlineStr">
        <is>
          <t>v11 — Audit + Governance Release</t>
        </is>
      </c>
    </row>
    <row r="10">
      <c r="A10" s="31" t="inlineStr">
        <is>
          <t>Model Type</t>
        </is>
      </c>
      <c r="B10" s="504" t="inlineStr">
        <is>
          <t>Institutional Equity Valuation (47-Sheet)</t>
        </is>
      </c>
    </row>
    <row r="11">
      <c r="A11" s="31" t="inlineStr">
        <is>
          <t>Date Created</t>
        </is>
      </c>
      <c r="B11" s="504" t="inlineStr">
        <is>
          <t>July 11, 2026</t>
        </is>
      </c>
    </row>
    <row r="12">
      <c r="A12" s="31" t="inlineStr">
        <is>
          <t>Last Updated</t>
        </is>
      </c>
      <c r="B12" s="504" t="inlineStr">
        <is>
          <t>July 11, 2026</t>
        </is>
      </c>
    </row>
    <row r="13">
      <c r="A13" s="31" t="inlineStr">
        <is>
          <t>Status</t>
        </is>
      </c>
      <c r="B13" s="504" t="inlineStr">
        <is>
          <t>DRAFT — Pending Senior Review</t>
        </is>
      </c>
      <c r="C13" s="331" t="inlineStr">
        <is>
          <t>Change to FINAL after MD sign-off</t>
        </is>
      </c>
    </row>
    <row r="14">
      <c r="A14" s="31" t="inlineStr">
        <is>
          <t>Prepared By</t>
        </is>
      </c>
      <c r="B14" s="504" t="inlineStr">
        <is>
          <t>— enter analyst name —</t>
        </is>
      </c>
      <c r="C14" s="331" t="inlineStr">
        <is>
          <t>Double-click to edit</t>
        </is>
      </c>
    </row>
    <row r="15">
      <c r="A15" s="31" t="inlineStr">
        <is>
          <t>Reviewed By</t>
        </is>
      </c>
      <c r="B15" s="504" t="inlineStr">
        <is>
          <t>— enter reviewer name —</t>
        </is>
      </c>
    </row>
    <row r="16">
      <c r="A16" s="31" t="inlineStr">
        <is>
          <t>Currency</t>
        </is>
      </c>
      <c r="B16" s="504" t="inlineStr">
        <is>
          <t>USD</t>
        </is>
      </c>
    </row>
    <row r="17">
      <c r="A17" s="31" t="inlineStr">
        <is>
          <t>Fiscal Year End</t>
        </is>
      </c>
      <c r="B17" s="504" t="inlineStr">
        <is>
          <t>December 31</t>
        </is>
      </c>
    </row>
    <row r="18"/>
    <row r="19">
      <c r="A19" s="314" t="inlineStr">
        <is>
          <t xml:space="preserve">  2 — ASSUMPTION AUDIT  (current model vs sector medians)</t>
        </is>
      </c>
    </row>
    <row r="20">
      <c r="A20" s="315" t="inlineStr">
        <is>
          <t>Assumption</t>
        </is>
      </c>
      <c r="B20" s="315" t="inlineStr">
        <is>
          <t>Model Value</t>
        </is>
      </c>
      <c r="C20" s="315" t="inlineStr">
        <is>
          <t>Sector Median</t>
        </is>
      </c>
      <c r="D20" s="315" t="inlineStr">
        <is>
          <t>Δ vs Median</t>
        </is>
      </c>
      <c r="E20" s="315" t="inlineStr">
        <is>
          <t>Flag</t>
        </is>
      </c>
      <c r="F20" s="315" t="inlineStr">
        <is>
          <t>Commentary</t>
        </is>
      </c>
    </row>
    <row r="21">
      <c r="A21" s="309" t="inlineStr">
        <is>
          <t>WACC</t>
        </is>
      </c>
      <c r="B21" s="494" t="n">
        <v>0.082</v>
      </c>
      <c r="C21" s="471" t="n">
        <v>0.1</v>
      </c>
      <c r="D21" s="505" t="n">
        <v>-0.018</v>
      </c>
      <c r="E21" s="506" t="inlineStr">
        <is>
          <t>✓ OK</t>
        </is>
      </c>
      <c r="F21" s="331" t="inlineStr">
        <is>
          <t>WACC above 12% or below 6% is unusual for most sectors</t>
        </is>
      </c>
    </row>
    <row r="22">
      <c r="A22" s="309" t="inlineStr">
        <is>
          <t>Terminal Growth Rate</t>
        </is>
      </c>
      <c r="B22" s="494" t="n">
        <v>0.03</v>
      </c>
      <c r="C22" s="471" t="n">
        <v>0.03</v>
      </c>
      <c r="D22" s="472" t="n">
        <v>0</v>
      </c>
      <c r="E22" s="506" t="inlineStr">
        <is>
          <t>✓ OK</t>
        </is>
      </c>
      <c r="F22" s="331" t="inlineStr">
        <is>
          <t>TGR should not exceed long-run GDP growth (~3%)</t>
        </is>
      </c>
    </row>
    <row r="23">
      <c r="A23" s="328" t="inlineStr">
        <is>
          <t>EBIT Margin</t>
        </is>
      </c>
      <c r="B23" s="507" t="n">
        <v>0.295</v>
      </c>
      <c r="C23" s="508" t="n">
        <v>0.2</v>
      </c>
      <c r="D23" s="509" t="n">
        <v>0.09499999999999997</v>
      </c>
      <c r="E23" s="510" t="inlineStr">
        <is>
          <t>⚠ HIGH</t>
        </is>
      </c>
      <c r="F23" s="511" t="inlineStr">
        <is>
          <t>Compare to 3-year average and peer median</t>
        </is>
      </c>
    </row>
    <row r="24">
      <c r="A24" s="309" t="inlineStr">
        <is>
          <t>D&amp;A % Revenue</t>
        </is>
      </c>
      <c r="B24" s="494" t="n">
        <v>0.029</v>
      </c>
      <c r="C24" s="471" t="n">
        <v>0.05</v>
      </c>
      <c r="D24" s="505" t="n">
        <v>-0.021</v>
      </c>
      <c r="E24" s="506" t="inlineStr">
        <is>
          <t>✓ OK</t>
        </is>
      </c>
      <c r="F24" s="331" t="inlineStr">
        <is>
          <t>D&amp;A typically 3-10% of revenue for asset-light businesses</t>
        </is>
      </c>
    </row>
    <row r="25">
      <c r="A25" s="512" t="inlineStr">
        <is>
          <t>CapEx % Revenue</t>
        </is>
      </c>
      <c r="B25" s="513" t="n">
        <v>0.024</v>
      </c>
      <c r="C25" s="514" t="n">
        <v>0.05</v>
      </c>
      <c r="D25" s="515" t="n">
        <v>-0.026</v>
      </c>
      <c r="E25" s="516" t="inlineStr">
        <is>
          <t>△ NOTE</t>
        </is>
      </c>
      <c r="F25" s="517" t="inlineStr">
        <is>
          <t>Sustaining CapEx vs growth CapEx — verify with mgmt guidance</t>
        </is>
      </c>
    </row>
    <row r="26">
      <c r="A26" s="328" t="inlineStr">
        <is>
          <t>Effective Tax Rate</t>
        </is>
      </c>
      <c r="B26" s="507" t="n">
        <v>0.151</v>
      </c>
      <c r="C26" s="508" t="n">
        <v>0.21</v>
      </c>
      <c r="D26" s="518" t="n">
        <v>-0.059</v>
      </c>
      <c r="E26" s="510" t="inlineStr">
        <is>
          <t>⚠ HIGH</t>
        </is>
      </c>
      <c r="F26" s="511" t="inlineStr">
        <is>
          <t>Use statutory rate adjusted for NOLs, R&amp;D credits</t>
        </is>
      </c>
    </row>
    <row r="27">
      <c r="A27" s="328" t="inlineStr">
        <is>
          <t>NWC % Revenue</t>
        </is>
      </c>
      <c r="B27" s="507" t="n">
        <v>-0.08</v>
      </c>
      <c r="C27" s="508" t="n">
        <v>0.05</v>
      </c>
      <c r="D27" s="518" t="n">
        <v>-0.13</v>
      </c>
      <c r="E27" s="510" t="inlineStr">
        <is>
          <t>⚠ HIGH</t>
        </is>
      </c>
      <c r="F27" s="511" t="inlineStr">
        <is>
          <t>Negative NWC change = cash outflow; verify direction</t>
        </is>
      </c>
    </row>
    <row r="28"/>
    <row r="29">
      <c r="A29" s="314" t="inlineStr">
        <is>
          <t xml:space="preserve">  3 — MODEL HEALTH CHECKS</t>
        </is>
      </c>
    </row>
    <row r="30">
      <c r="A30" s="23" t="inlineStr">
        <is>
          <t>Check</t>
        </is>
      </c>
      <c r="B30" s="23" t="inlineStr">
        <is>
          <t>Status</t>
        </is>
      </c>
      <c r="C30" s="23" t="inlineStr">
        <is>
          <t>Detail</t>
        </is>
      </c>
    </row>
    <row r="31">
      <c r="A31" s="309" t="inlineStr">
        <is>
          <t>Live Formula Engine</t>
        </is>
      </c>
      <c r="B31" s="519" t="inlineStr">
        <is>
          <t>✓ ACTIVE</t>
        </is>
      </c>
      <c r="C31" s="331" t="inlineStr">
        <is>
          <t>DCF Scenarios, Sensitivity, Quarterly Model use cross-sheet formulas</t>
        </is>
      </c>
    </row>
    <row r="32">
      <c r="A32" s="309" t="inlineStr">
        <is>
          <t>Sheet Protection</t>
        </is>
      </c>
      <c r="B32" s="519" t="inlineStr">
        <is>
          <t>✓ 15 sheets locked</t>
        </is>
      </c>
      <c r="C32" s="331" t="inlineStr">
        <is>
          <t>Protected: DCF Scenarios, Sensitivity, Assumptions, Credit Analysis, Quarterly Model, Consensus Estimates...</t>
        </is>
      </c>
    </row>
    <row r="33">
      <c r="A33" s="328" t="inlineStr">
        <is>
          <t>Named Ranges</t>
        </is>
      </c>
      <c r="B33" s="329" t="inlineStr">
        <is>
          <t>✗ NONE</t>
        </is>
      </c>
      <c r="C33" s="511" t="inlineStr">
        <is>
          <t>WACC, TGR, BaseRevenue etc. — visible in Excel Name Box</t>
        </is>
      </c>
    </row>
    <row r="34">
      <c r="A34" s="309" t="inlineStr">
        <is>
          <t>Assumptions Control Hub</t>
        </is>
      </c>
      <c r="B34" s="519" t="inlineStr">
        <is>
          <t>✓ ACTIVE</t>
        </is>
      </c>
      <c r="C34" s="331" t="inlineStr">
        <is>
          <t>Yellow cells in Assumptions!B5:B32 drive all formula sheets</t>
        </is>
      </c>
    </row>
    <row r="35">
      <c r="A35" s="309" t="inlineStr">
        <is>
          <t>Scenario Toggle</t>
        </is>
      </c>
      <c r="B35" s="519" t="inlineStr">
        <is>
          <t>✓ ACTIVE</t>
        </is>
      </c>
      <c r="C35" s="331" t="inlineStr">
        <is>
          <t>Assumptions!B16 = Base / Bear / Bull — recalculates all 3 scenarios</t>
        </is>
      </c>
    </row>
    <row r="36">
      <c r="A36" s="309" t="inlineStr">
        <is>
          <t>Quarterly Model</t>
        </is>
      </c>
      <c r="B36" s="519" t="inlineStr">
        <is>
          <t>✓ ACTIVE</t>
        </is>
      </c>
      <c r="C36" s="331" t="inlineStr">
        <is>
          <t>8-quarter formula-driven P&amp;L linked to Assumptions hub</t>
        </is>
      </c>
    </row>
    <row r="37">
      <c r="A37" s="328" t="inlineStr">
        <is>
          <t>TOC Hyperlinks</t>
        </is>
      </c>
      <c r="B37" s="329" t="inlineStr">
        <is>
          <t>✗ MISSING</t>
        </is>
      </c>
      <c r="C37" s="511" t="inlineStr">
        <is>
          <t>All 48 sheets indexed and hyperlinked</t>
        </is>
      </c>
    </row>
    <row r="38">
      <c r="A38" s="309" t="inlineStr">
        <is>
          <t>Data Sources</t>
        </is>
      </c>
      <c r="B38" s="519" t="inlineStr">
        <is>
          <t>✓ MULTI-SOURCE</t>
        </is>
      </c>
      <c r="C38" s="331" t="inlineStr">
        <is>
          <t>EDGAR XBRL (no key) → FMP (free) → Alpha Vantage → yfinance fallback</t>
        </is>
      </c>
    </row>
    <row r="39">
      <c r="A39" s="309" t="inlineStr">
        <is>
          <t>Print Areas</t>
        </is>
      </c>
      <c r="B39" s="519" t="inlineStr">
        <is>
          <t>✓ CONFIGURED</t>
        </is>
      </c>
      <c r="C39" s="331" t="inlineStr">
        <is>
          <t>All sheets have print setup, orientation, and page breaks</t>
        </is>
      </c>
    </row>
    <row r="40">
      <c r="A40" s="328" t="inlineStr">
        <is>
          <t>Model Version</t>
        </is>
      </c>
      <c r="B40" s="329" t="inlineStr">
        <is>
          <t>v11</t>
        </is>
      </c>
      <c r="C40" s="511" t="inlineStr">
        <is>
          <t>Audit &amp; Governance release — see metadata section above</t>
        </is>
      </c>
    </row>
    <row r="41"/>
    <row r="42">
      <c r="A42" s="314" t="inlineStr">
        <is>
          <t xml:space="preserve">  4 — CHANGE LOG  (most recent first)</t>
        </is>
      </c>
    </row>
    <row r="43">
      <c r="A43" s="23" t="inlineStr">
        <is>
          <t>Date</t>
        </is>
      </c>
      <c r="B43" s="23" t="inlineStr">
        <is>
          <t>Version</t>
        </is>
      </c>
      <c r="C43" s="23" t="inlineStr">
        <is>
          <t>Changed By</t>
        </is>
      </c>
      <c r="D43" s="23" t="inlineStr">
        <is>
          <t>Sheet / Cell</t>
        </is>
      </c>
      <c r="E43" s="23" t="inlineStr">
        <is>
          <t>Description of Change</t>
        </is>
      </c>
    </row>
    <row r="44">
      <c r="A44" s="26" t="inlineStr">
        <is>
          <t>July 11, 2026</t>
        </is>
      </c>
      <c r="B44" s="26" t="inlineStr">
        <is>
          <t>v11</t>
        </is>
      </c>
      <c r="C44" s="26" t="inlineStr">
        <is>
          <t>— analyst —</t>
        </is>
      </c>
      <c r="D44" s="26" t="inlineStr">
        <is>
          <t>Model Audit &amp; Governance</t>
        </is>
      </c>
      <c r="E44" s="309" t="inlineStr">
        <is>
          <t>Added audit tab, assumption benchmarking, health checks, sign-off block</t>
        </is>
      </c>
    </row>
    <row r="45">
      <c r="A45" s="26" t="inlineStr">
        <is>
          <t>July 11, 2026</t>
        </is>
      </c>
      <c r="B45" s="26" t="inlineStr">
        <is>
          <t>v10</t>
        </is>
      </c>
      <c r="C45" s="26" t="inlineStr">
        <is>
          <t>— analyst —</t>
        </is>
      </c>
      <c r="D45" s="26" t="inlineStr">
        <is>
          <t>Quarterly Model, All sheets</t>
        </is>
      </c>
      <c r="E45" s="309" t="inlineStr">
        <is>
          <t>Quarterly 8-quarter P&amp;L, sheet protection, page breaks, v10 output</t>
        </is>
      </c>
    </row>
    <row r="46">
      <c r="A46" s="26" t="inlineStr">
        <is>
          <t>July 11, 2026</t>
        </is>
      </c>
      <c r="B46" s="26" t="inlineStr">
        <is>
          <t>v9</t>
        </is>
      </c>
      <c r="C46" s="26" t="inlineStr">
        <is>
          <t>— analyst —</t>
        </is>
      </c>
      <c r="D46" s="26" t="inlineStr">
        <is>
          <t>val_core.py</t>
        </is>
      </c>
      <c r="E46" s="309" t="inlineStr">
        <is>
          <t>Multi-source data engine: EDGAR XBRL, FMP, Alpha Vantage, yfinance</t>
        </is>
      </c>
    </row>
    <row r="47">
      <c r="A47" s="26" t="inlineStr">
        <is>
          <t>July 11, 2026</t>
        </is>
      </c>
      <c r="B47" s="26" t="inlineStr">
        <is>
          <t>v8</t>
        </is>
      </c>
      <c r="C47" s="26" t="inlineStr">
        <is>
          <t>— analyst —</t>
        </is>
      </c>
      <c r="D47" s="26" t="inlineStr">
        <is>
          <t>DCF Scenarios, Sensitivity, Assumptions</t>
        </is>
      </c>
      <c r="E47" s="309" t="inlineStr">
        <is>
          <t>Live Excel formula engine, named ranges, scenario dropdown</t>
        </is>
      </c>
    </row>
    <row r="48">
      <c r="A48" s="520" t="inlineStr"/>
      <c r="B48" s="520" t="inlineStr"/>
      <c r="C48" s="520" t="inlineStr"/>
      <c r="D48" s="520" t="inlineStr"/>
      <c r="E48" s="520" t="inlineStr"/>
    </row>
    <row r="49">
      <c r="A49" s="520" t="inlineStr"/>
      <c r="B49" s="520" t="inlineStr"/>
      <c r="C49" s="520" t="inlineStr"/>
      <c r="D49" s="520" t="inlineStr"/>
      <c r="E49" s="520" t="inlineStr"/>
    </row>
    <row r="50">
      <c r="A50" s="520" t="inlineStr"/>
      <c r="B50" s="520" t="inlineStr"/>
      <c r="C50" s="520" t="inlineStr"/>
      <c r="D50" s="520" t="inlineStr"/>
      <c r="E50" s="520" t="inlineStr"/>
    </row>
    <row r="51">
      <c r="A51" s="520" t="inlineStr"/>
      <c r="B51" s="520" t="inlineStr"/>
      <c r="C51" s="520" t="inlineStr"/>
      <c r="D51" s="520" t="inlineStr"/>
      <c r="E51" s="520" t="inlineStr"/>
    </row>
    <row r="52">
      <c r="A52" s="520" t="inlineStr"/>
      <c r="B52" s="520" t="inlineStr"/>
      <c r="C52" s="520" t="inlineStr"/>
      <c r="D52" s="520" t="inlineStr"/>
      <c r="E52" s="520" t="inlineStr"/>
    </row>
    <row r="53">
      <c r="A53" s="520" t="inlineStr"/>
      <c r="B53" s="520" t="inlineStr"/>
      <c r="C53" s="520" t="inlineStr"/>
      <c r="D53" s="520" t="inlineStr"/>
      <c r="E53" s="520" t="inlineStr"/>
    </row>
    <row r="54">
      <c r="A54" s="520" t="inlineStr"/>
      <c r="B54" s="520" t="inlineStr"/>
      <c r="C54" s="520" t="inlineStr"/>
      <c r="D54" s="520" t="inlineStr"/>
      <c r="E54" s="520" t="inlineStr"/>
    </row>
    <row r="55">
      <c r="A55" s="520" t="inlineStr"/>
      <c r="B55" s="520" t="inlineStr"/>
      <c r="C55" s="520" t="inlineStr"/>
      <c r="D55" s="520" t="inlineStr"/>
      <c r="E55" s="520" t="inlineStr"/>
    </row>
    <row r="57">
      <c r="A57" s="314" t="inlineStr">
        <is>
          <t xml:space="preserve">  5 — SIGN-OFF  (required before distribution)</t>
        </is>
      </c>
    </row>
    <row r="58">
      <c r="A58" s="23" t="inlineStr">
        <is>
          <t>Role</t>
        </is>
      </c>
      <c r="B58" s="23" t="inlineStr">
        <is>
          <t>Name</t>
        </is>
      </c>
      <c r="C58" s="23" t="inlineStr">
        <is>
          <t>Initials</t>
        </is>
      </c>
      <c r="D58" s="23" t="inlineStr">
        <is>
          <t>Date</t>
        </is>
      </c>
      <c r="E58" s="23" t="inlineStr">
        <is>
          <t>Status</t>
        </is>
      </c>
      <c r="F58" s="23" t="inlineStr">
        <is>
          <t>Notes</t>
        </is>
      </c>
    </row>
    <row r="59">
      <c r="A59" s="31" t="inlineStr">
        <is>
          <t>Analyst</t>
        </is>
      </c>
      <c r="B59" s="348" t="inlineStr"/>
      <c r="C59" s="348" t="inlineStr"/>
      <c r="D59" s="348" t="inlineStr"/>
      <c r="E59" s="329" t="inlineStr">
        <is>
          <t>PENDING</t>
        </is>
      </c>
      <c r="F59" s="331" t="inlineStr">
        <is>
          <t>Model build, assumption sourcing</t>
        </is>
      </c>
    </row>
    <row r="60">
      <c r="A60" s="31" t="inlineStr">
        <is>
          <t>Associate</t>
        </is>
      </c>
      <c r="B60" s="521" t="inlineStr"/>
      <c r="C60" s="521" t="inlineStr"/>
      <c r="D60" s="521" t="inlineStr"/>
      <c r="E60" s="329" t="inlineStr">
        <is>
          <t>PENDING</t>
        </is>
      </c>
      <c r="F60" s="331" t="inlineStr">
        <is>
          <t>Model review, sector comp check</t>
        </is>
      </c>
    </row>
    <row r="61">
      <c r="A61" s="31" t="inlineStr">
        <is>
          <t>Vice President</t>
        </is>
      </c>
      <c r="B61" s="521" t="inlineStr"/>
      <c r="C61" s="521" t="inlineStr"/>
      <c r="D61" s="521" t="inlineStr"/>
      <c r="E61" s="329" t="inlineStr">
        <is>
          <t>PENDING</t>
        </is>
      </c>
      <c r="F61" s="331" t="inlineStr">
        <is>
          <t>Valuation sign-off, sensitivity review</t>
        </is>
      </c>
    </row>
    <row r="62">
      <c r="A62" s="31" t="inlineStr">
        <is>
          <t>Managing Director</t>
        </is>
      </c>
      <c r="B62" s="521" t="inlineStr"/>
      <c r="C62" s="521" t="inlineStr"/>
      <c r="D62" s="521" t="inlineStr"/>
      <c r="E62" s="329" t="inlineStr">
        <is>
          <t>PENDING</t>
        </is>
      </c>
      <c r="F62" s="331" t="inlineStr">
        <is>
          <t>Final approval, distribution authorization</t>
        </is>
      </c>
    </row>
    <row r="63">
      <c r="B63" s="522" t="n"/>
      <c r="C63" s="522" t="n"/>
      <c r="D63" s="522" t="n"/>
    </row>
    <row r="64">
      <c r="B64" s="522" t="n"/>
      <c r="C64" s="522" t="n"/>
      <c r="D64" s="522" t="n"/>
    </row>
    <row r="65" ht="55" customHeight="1">
      <c r="A65" s="523" t="inlineStr">
        <is>
          <t xml:space="preserve">  CONFIDENTIAL — FOR INTERNAL USE ONLY
  This model is proprietary and confidential. It is intended solely for internal analytical purposes and may not be distributed, reproduced, or shared with external parties without prior written approval from a Managing Director.
  Goldman Sachs visual standard. Model generated programmatically — verify all assumptions against primary sources before use in client materials.</t>
        </is>
      </c>
    </row>
    <row r="66"/>
    <row r="67"/>
  </sheetData>
  <sheetProtection selectLockedCells="0" selectUnlockedCells="0" sheet="1" objects="0" insertRows="0" insertHyperlinks="1" autoFilter="1" scenarios="0" formatColumns="1" deleteColumns="1" insertColumns="1" pivotTables="1" deleteRows="0" formatCells="0" formatRows="1" sort="1"/>
  <mergeCells count="19">
    <mergeCell ref="A65:F67"/>
    <mergeCell ref="C39:F39"/>
    <mergeCell ref="C38:F38"/>
    <mergeCell ref="C32:F32"/>
    <mergeCell ref="C37:F37"/>
    <mergeCell ref="A57:F57"/>
    <mergeCell ref="C13:F13"/>
    <mergeCell ref="A42:F42"/>
    <mergeCell ref="A5:F5"/>
    <mergeCell ref="C34:F34"/>
    <mergeCell ref="C33:F33"/>
    <mergeCell ref="A29:F29"/>
    <mergeCell ref="C14:F14"/>
    <mergeCell ref="A19:F19"/>
    <mergeCell ref="C35:F35"/>
    <mergeCell ref="C40:F40"/>
    <mergeCell ref="C31:F31"/>
    <mergeCell ref="A1:L1"/>
    <mergeCell ref="C36:F36"/>
  </mergeCells>
  <hyperlinks>
    <hyperlink xmlns:r="http://schemas.openxmlformats.org/officeDocument/2006/relationships" ref="A2" r:id="rId1"/>
    <hyperlink xmlns:r="http://schemas.openxmlformats.org/officeDocument/2006/relationships" ref="B2" r:id="rId2"/>
    <hyperlink xmlns:r="http://schemas.openxmlformats.org/officeDocument/2006/relationships" ref="C2" r:id="rId3"/>
    <hyperlink xmlns:r="http://schemas.openxmlformats.org/officeDocument/2006/relationships" ref="D2" r:id="rId4"/>
    <hyperlink xmlns:r="http://schemas.openxmlformats.org/officeDocument/2006/relationships" ref="E2" r:id="rId5"/>
    <hyperlink xmlns:r="http://schemas.openxmlformats.org/officeDocument/2006/relationships" ref="F2" r:id="rId6"/>
    <hyperlink xmlns:r="http://schemas.openxmlformats.org/officeDocument/2006/relationships" ref="G2" r:id="rId7"/>
    <hyperlink xmlns:r="http://schemas.openxmlformats.org/officeDocument/2006/relationships" ref="H2" r:id="rId8"/>
    <hyperlink xmlns:r="http://schemas.openxmlformats.org/officeDocument/2006/relationships" ref="I2" r:id="rId9"/>
    <hyperlink xmlns:r="http://schemas.openxmlformats.org/officeDocument/2006/relationships" ref="J2" r:id="rId10"/>
  </hyperlinks>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68.xml><?xml version="1.0" encoding="utf-8"?>
<worksheet xmlns="http://schemas.openxmlformats.org/spreadsheetml/2006/main">
  <sheetPr>
    <tabColor rgb="000071E3"/>
    <outlinePr summaryBelow="1" summaryRight="1"/>
    <pageSetUpPr/>
  </sheetPr>
  <dimension ref="A1:P4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 customWidth="1" min="1" max="1"/>
    <col width="22" customWidth="1" min="2" max="2"/>
    <col width="13" customWidth="1" min="3" max="3"/>
    <col width="13" customWidth="1" min="4" max="4"/>
    <col width="13" customWidth="1" min="5" max="5"/>
    <col width="2" customWidth="1" min="6" max="6"/>
    <col width="22" customWidth="1" min="7" max="7"/>
    <col width="13" customWidth="1" min="8" max="8"/>
    <col width="13" customWidth="1" min="9" max="9"/>
    <col width="13" customWidth="1" min="10" max="10"/>
    <col width="2" customWidth="1" min="11" max="11"/>
    <col width="22" customWidth="1" min="12" max="12"/>
    <col width="13" customWidth="1" min="13" max="13"/>
    <col width="13" customWidth="1" min="14" max="14"/>
    <col width="13" customWidth="1" min="15" max="15"/>
    <col width="3" customWidth="1" min="16" max="16"/>
  </cols>
  <sheetData>
    <row r="1">
      <c r="A1" s="524" t="inlineStr">
        <is>
          <t>FORWARD PRICE OUTLOOK  ·  Apple Inc. (AAPL)</t>
        </is>
      </c>
    </row>
    <row r="2">
      <c r="A2" s="525" t="inlineStr">
        <is>
          <t>3-Month · 6-Month · 9-Month Price Scenario Analysis  ·  Base: $213.00  ·  As of July 11, 2026</t>
        </is>
      </c>
    </row>
    <row r="3">
      <c r="A3" s="526" t="inlineStr"/>
    </row>
    <row r="4">
      <c r="B4" s="527" t="inlineStr">
        <is>
          <t>◆ 3-MONTH TARGET  (Oct 2026)</t>
        </is>
      </c>
      <c r="G4" s="527" t="inlineStr">
        <is>
          <t>◆ 6-MONTH TARGET  (Jan 2027)</t>
        </is>
      </c>
      <c r="L4" s="527" t="inlineStr">
        <is>
          <t>◆ 9-MONTH TARGET  (Apr 2027)</t>
        </is>
      </c>
    </row>
    <row r="5">
      <c r="B5" s="528" t="inlineStr">
        <is>
          <t>▲ BULL CASE</t>
        </is>
      </c>
      <c r="C5" s="529" t="n">
        <v>242.26</v>
      </c>
      <c r="D5" s="530" t="inlineStr">
        <is>
          <t>+13.7%</t>
        </is>
      </c>
      <c r="E5" s="531" t="inlineStr">
        <is>
          <t>vs. current</t>
        </is>
      </c>
      <c r="G5" s="528" t="inlineStr">
        <is>
          <t>▲ BULL CASE</t>
        </is>
      </c>
      <c r="H5" s="529" t="n">
        <v>250.36</v>
      </c>
      <c r="I5" s="530" t="inlineStr">
        <is>
          <t>+17.5%</t>
        </is>
      </c>
      <c r="J5" s="531" t="inlineStr">
        <is>
          <t>vs. current</t>
        </is>
      </c>
      <c r="L5" s="528" t="inlineStr">
        <is>
          <t>▲ BULL CASE</t>
        </is>
      </c>
      <c r="M5" s="529" t="n">
        <v>257.5</v>
      </c>
      <c r="N5" s="530" t="inlineStr">
        <is>
          <t>+20.9%</t>
        </is>
      </c>
      <c r="O5" s="531" t="inlineStr">
        <is>
          <t>vs. current</t>
        </is>
      </c>
    </row>
    <row r="6">
      <c r="B6" s="532" t="inlineStr">
        <is>
          <t>● BASE CASE</t>
        </is>
      </c>
      <c r="C6" s="533" t="n">
        <v>214.04</v>
      </c>
      <c r="D6" s="534" t="inlineStr">
        <is>
          <t>+0.5%</t>
        </is>
      </c>
      <c r="E6" s="535" t="inlineStr">
        <is>
          <t>vs. current</t>
        </is>
      </c>
      <c r="G6" s="532" t="inlineStr">
        <is>
          <t>● BASE CASE</t>
        </is>
      </c>
      <c r="H6" s="533" t="n">
        <v>214.23</v>
      </c>
      <c r="I6" s="534" t="inlineStr">
        <is>
          <t>+0.6%</t>
        </is>
      </c>
      <c r="J6" s="535" t="inlineStr">
        <is>
          <t>vs. current</t>
        </is>
      </c>
      <c r="L6" s="532" t="inlineStr">
        <is>
          <t>● BASE CASE</t>
        </is>
      </c>
      <c r="M6" s="533" t="n">
        <v>214.43</v>
      </c>
      <c r="N6" s="534" t="inlineStr">
        <is>
          <t>+0.7%</t>
        </is>
      </c>
      <c r="O6" s="535" t="inlineStr">
        <is>
          <t>vs. current</t>
        </is>
      </c>
    </row>
    <row r="7">
      <c r="B7" s="536" t="inlineStr">
        <is>
          <t>▼ BEAR CASE</t>
        </is>
      </c>
      <c r="C7" s="537" t="n">
        <v>188.48</v>
      </c>
      <c r="D7" s="538" t="inlineStr">
        <is>
          <t>-11.5%</t>
        </is>
      </c>
      <c r="E7" s="535" t="inlineStr">
        <is>
          <t>vs. current</t>
        </is>
      </c>
      <c r="G7" s="536" t="inlineStr">
        <is>
          <t>▼ BEAR CASE</t>
        </is>
      </c>
      <c r="H7" s="537" t="n">
        <v>183.53</v>
      </c>
      <c r="I7" s="538" t="inlineStr">
        <is>
          <t>-13.8%</t>
        </is>
      </c>
      <c r="J7" s="535" t="inlineStr">
        <is>
          <t>vs. current</t>
        </is>
      </c>
      <c r="L7" s="536" t="inlineStr">
        <is>
          <t>▼ BEAR CASE</t>
        </is>
      </c>
      <c r="M7" s="537" t="n">
        <v>179.67</v>
      </c>
      <c r="N7" s="538" t="inlineStr">
        <is>
          <t>-15.6%</t>
        </is>
      </c>
      <c r="O7" s="535" t="inlineStr">
        <is>
          <t>vs. current</t>
        </is>
      </c>
    </row>
    <row r="9">
      <c r="A9" s="539" t="inlineStr">
        <is>
          <t xml:space="preserve">  METHOD BREAKDOWN  —  Weighted Average of 5 Independent Models</t>
        </is>
      </c>
    </row>
    <row r="10">
      <c r="B10" s="540" t="inlineStr">
        <is>
          <t>Method</t>
        </is>
      </c>
      <c r="C10" s="540" t="inlineStr">
        <is>
          <t>Weight</t>
        </is>
      </c>
      <c r="D10" s="540" t="inlineStr">
        <is>
          <t>Bear</t>
        </is>
      </c>
      <c r="E10" s="540" t="inlineStr">
        <is>
          <t>Base</t>
        </is>
      </c>
      <c r="F10" s="540" t="inlineStr">
        <is>
          <t>Bull</t>
        </is>
      </c>
      <c r="G10" s="540" t="inlineStr">
        <is>
          <t xml:space="preserve">  </t>
        </is>
      </c>
      <c r="H10" s="540" t="inlineStr">
        <is>
          <t>Method</t>
        </is>
      </c>
      <c r="I10" s="540" t="inlineStr">
        <is>
          <t>Weight</t>
        </is>
      </c>
      <c r="J10" s="540" t="inlineStr">
        <is>
          <t>Bear</t>
        </is>
      </c>
      <c r="K10" s="540" t="inlineStr">
        <is>
          <t>Base</t>
        </is>
      </c>
      <c r="L10" s="540" t="inlineStr">
        <is>
          <t>Bull</t>
        </is>
      </c>
      <c r="M10" s="540" t="inlineStr">
        <is>
          <t xml:space="preserve">  </t>
        </is>
      </c>
      <c r="N10" s="540" t="inlineStr">
        <is>
          <t>Method</t>
        </is>
      </c>
      <c r="O10" s="540" t="inlineStr">
        <is>
          <t>Weight</t>
        </is>
      </c>
      <c r="P10" s="540" t="inlineStr">
        <is>
          <t>Bear</t>
        </is>
      </c>
    </row>
    <row r="11">
      <c r="B11" s="541" t="inlineStr">
        <is>
          <t>IV Cone</t>
        </is>
      </c>
      <c r="C11" s="542" t="inlineStr">
        <is>
          <t>20%</t>
        </is>
      </c>
      <c r="D11" s="543" t="n">
        <v>172.02</v>
      </c>
      <c r="E11" s="543" t="n">
        <v>273.04</v>
      </c>
      <c r="G11" s="541" t="inlineStr">
        <is>
          <t>IV Cone</t>
        </is>
      </c>
      <c r="H11" s="542" t="inlineStr">
        <is>
          <t>20%</t>
        </is>
      </c>
      <c r="I11" s="543" t="n">
        <v>159.06</v>
      </c>
      <c r="J11" s="543" t="n">
        <v>305.71</v>
      </c>
      <c r="L11" s="541" t="inlineStr">
        <is>
          <t>IV Cone</t>
        </is>
      </c>
      <c r="M11" s="542" t="inlineStr">
        <is>
          <t>20%</t>
        </is>
      </c>
      <c r="N11" s="543" t="n">
        <v>150.38</v>
      </c>
      <c r="O11" s="543" t="n">
        <v>334.75</v>
      </c>
    </row>
    <row r="12">
      <c r="B12" s="544" t="inlineStr">
        <is>
          <t>Earnings Path</t>
        </is>
      </c>
      <c r="C12" s="545" t="inlineStr">
        <is>
          <t>25%</t>
        </is>
      </c>
      <c r="D12" s="546" t="n">
        <v>179.22</v>
      </c>
      <c r="E12" s="546" t="n">
        <v>242.47</v>
      </c>
      <c r="G12" s="544" t="inlineStr">
        <is>
          <t>Earnings Path</t>
        </is>
      </c>
      <c r="H12" s="545" t="inlineStr">
        <is>
          <t>25%</t>
        </is>
      </c>
      <c r="I12" s="546" t="n">
        <v>177.37</v>
      </c>
      <c r="J12" s="546" t="n">
        <v>239.97</v>
      </c>
      <c r="L12" s="544" t="inlineStr">
        <is>
          <t>Earnings Path</t>
        </is>
      </c>
      <c r="M12" s="545" t="inlineStr">
        <is>
          <t>25%</t>
        </is>
      </c>
      <c r="N12" s="546" t="n">
        <v>175.49</v>
      </c>
      <c r="O12" s="546" t="n">
        <v>237.43</v>
      </c>
    </row>
    <row r="13">
      <c r="B13" s="541" t="inlineStr">
        <is>
          <t>Multiple Expansion</t>
        </is>
      </c>
      <c r="C13" s="542" t="inlineStr">
        <is>
          <t>20%</t>
        </is>
      </c>
      <c r="D13" s="543" t="n">
        <v>189.76</v>
      </c>
      <c r="E13" s="543" t="n">
        <v>241.52</v>
      </c>
      <c r="G13" s="541" t="inlineStr">
        <is>
          <t>Multiple Expansion</t>
        </is>
      </c>
      <c r="H13" s="542" t="inlineStr">
        <is>
          <t>20%</t>
        </is>
      </c>
      <c r="I13" s="543" t="n">
        <v>188.26</v>
      </c>
      <c r="J13" s="543" t="n">
        <v>239.61</v>
      </c>
      <c r="L13" s="541" t="inlineStr">
        <is>
          <t>Multiple Expansion</t>
        </is>
      </c>
      <c r="M13" s="542" t="inlineStr">
        <is>
          <t>20%</t>
        </is>
      </c>
      <c r="N13" s="543" t="n">
        <v>186.74</v>
      </c>
      <c r="O13" s="543" t="n">
        <v>237.67</v>
      </c>
    </row>
    <row r="14">
      <c r="B14" s="544" t="inlineStr">
        <is>
          <t>Momentum</t>
        </is>
      </c>
      <c r="C14" s="545" t="inlineStr">
        <is>
          <t>15%</t>
        </is>
      </c>
      <c r="D14" s="546" t="n">
        <v>198.89</v>
      </c>
      <c r="E14" s="546" t="n">
        <v>238.23</v>
      </c>
      <c r="G14" s="544" t="inlineStr">
        <is>
          <t>Momentum</t>
        </is>
      </c>
      <c r="H14" s="545" t="inlineStr">
        <is>
          <t>15%</t>
        </is>
      </c>
      <c r="I14" s="546" t="n">
        <v>195.66</v>
      </c>
      <c r="J14" s="546" t="n">
        <v>252.73</v>
      </c>
      <c r="L14" s="544" t="inlineStr">
        <is>
          <t>Momentum</t>
        </is>
      </c>
      <c r="M14" s="545" t="inlineStr">
        <is>
          <t>15%</t>
        </is>
      </c>
      <c r="N14" s="546" t="n">
        <v>194.07</v>
      </c>
      <c r="O14" s="546" t="n">
        <v>265.75</v>
      </c>
    </row>
    <row r="15">
      <c r="B15" s="541" t="inlineStr">
        <is>
          <t>Monte Carlo</t>
        </is>
      </c>
      <c r="C15" s="542" t="inlineStr">
        <is>
          <t>20%</t>
        </is>
      </c>
      <c r="D15" s="543" t="n">
        <v>207.44</v>
      </c>
      <c r="E15" s="543" t="n">
        <v>215</v>
      </c>
      <c r="G15" s="541" t="inlineStr">
        <is>
          <t>Monte Carlo</t>
        </is>
      </c>
      <c r="H15" s="542" t="inlineStr">
        <is>
          <t>20%</t>
        </is>
      </c>
      <c r="I15" s="543" t="n">
        <v>201.88</v>
      </c>
      <c r="J15" s="543" t="n">
        <v>217.01</v>
      </c>
      <c r="L15" s="541" t="inlineStr">
        <is>
          <t>Monte Carlo</t>
        </is>
      </c>
      <c r="M15" s="542" t="inlineStr">
        <is>
          <t>20%</t>
        </is>
      </c>
      <c r="N15" s="543" t="n">
        <v>196.32</v>
      </c>
      <c r="O15" s="543" t="n">
        <v>219.01</v>
      </c>
    </row>
    <row r="16">
      <c r="B16" s="547" t="inlineStr">
        <is>
          <t>WEIGHTED TOTAL</t>
        </is>
      </c>
      <c r="C16" s="548" t="inlineStr">
        <is>
          <t>100%</t>
        </is>
      </c>
      <c r="D16" s="549" t="n">
        <v>188.48</v>
      </c>
      <c r="E16" s="549" t="n">
        <v>242.26</v>
      </c>
      <c r="G16" s="547" t="inlineStr">
        <is>
          <t>WEIGHTED TOTAL</t>
        </is>
      </c>
      <c r="H16" s="548" t="inlineStr">
        <is>
          <t>100%</t>
        </is>
      </c>
      <c r="I16" s="549" t="n">
        <v>183.53</v>
      </c>
      <c r="J16" s="549" t="n">
        <v>250.36</v>
      </c>
      <c r="L16" s="547" t="inlineStr">
        <is>
          <t>WEIGHTED TOTAL</t>
        </is>
      </c>
      <c r="M16" s="548" t="inlineStr">
        <is>
          <t>100%</t>
        </is>
      </c>
      <c r="N16" s="549" t="n">
        <v>179.67</v>
      </c>
      <c r="O16" s="549" t="n">
        <v>257.5</v>
      </c>
    </row>
    <row r="18">
      <c r="A18" s="539" t="inlineStr">
        <is>
          <t xml:space="preserve">  SIGNAL DASHBOARD  —  Key Market &amp; Fundamental Indicators</t>
        </is>
      </c>
    </row>
    <row r="19">
      <c r="B19" s="532" t="inlineStr">
        <is>
          <t>Revenue Growth</t>
        </is>
      </c>
      <c r="D19" s="550" t="inlineStr">
        <is>
          <t>Negative</t>
        </is>
      </c>
      <c r="E19" s="551" t="inlineStr">
        <is>
          <t>2.0% annual</t>
        </is>
      </c>
      <c r="I19" s="532" t="inlineStr">
        <is>
          <t>Valuation (P/E)</t>
        </is>
      </c>
      <c r="K19" s="552" t="inlineStr">
        <is>
          <t>Fair</t>
        </is>
      </c>
      <c r="L19" s="551" t="inlineStr">
        <is>
          <t>33.6x trailing</t>
        </is>
      </c>
    </row>
    <row r="20">
      <c r="B20" s="553" t="inlineStr">
        <is>
          <t>Volatility (Beta)</t>
        </is>
      </c>
      <c r="D20" s="554" t="inlineStr">
        <is>
          <t>Market</t>
        </is>
      </c>
      <c r="E20" s="555" t="inlineStr">
        <is>
          <t>1.24β</t>
        </is>
      </c>
      <c r="I20" s="553" t="inlineStr">
        <is>
          <t>Margin Trend</t>
        </is>
      </c>
      <c r="K20" s="556" t="inlineStr">
        <is>
          <t>Expanding</t>
        </is>
      </c>
      <c r="L20" s="555" t="inlineStr">
        <is>
          <t>24.0% net margin</t>
        </is>
      </c>
    </row>
    <row r="21">
      <c r="B21" s="532" t="inlineStr">
        <is>
          <t>Analyst Consensus</t>
        </is>
      </c>
      <c r="D21" s="557" t="inlineStr">
        <is>
          <t>Above</t>
        </is>
      </c>
      <c r="E21" s="551" t="inlineStr">
        <is>
          <t>$234.30 target</t>
        </is>
      </c>
      <c r="I21" s="532" t="inlineStr">
        <is>
          <t>Implied Volatility</t>
        </is>
      </c>
      <c r="K21" s="558" t="inlineStr">
        <is>
          <t>—</t>
        </is>
      </c>
      <c r="L21" s="551" t="inlineStr">
        <is>
          <t>28% annualised</t>
        </is>
      </c>
    </row>
    <row r="23">
      <c r="A23" s="539" t="inlineStr">
        <is>
          <t xml:space="preserve">  CATALYST CALENDAR  —  Key Events &amp; Risks by Horizon</t>
        </is>
      </c>
    </row>
    <row r="24">
      <c r="B24" s="559" t="inlineStr">
        <is>
          <t>▸ 3-MONTH</t>
        </is>
      </c>
      <c r="G24" s="559" t="inlineStr">
        <is>
          <t>▸ 6-MONTH</t>
        </is>
      </c>
      <c r="L24" s="559" t="inlineStr">
        <is>
          <t>▸ 9-MONTH</t>
        </is>
      </c>
    </row>
    <row r="25">
      <c r="B25" s="560" t="inlineStr">
        <is>
          <t>• Next earnings release (~Sep 2026)</t>
        </is>
      </c>
      <c r="G25" s="560" t="inlineStr">
        <is>
          <t>• Two full earnings cycles</t>
        </is>
      </c>
      <c r="L25" s="560" t="inlineStr">
        <is>
          <t>• Annual earnings vs. guidance delivery</t>
        </is>
      </c>
    </row>
    <row r="26">
      <c r="B26" s="561" t="inlineStr">
        <is>
          <t>• Quarterly guidance update</t>
        </is>
      </c>
      <c r="G26" s="561" t="inlineStr">
        <is>
          <t>• Mid-year capital allocation update (buybacks / dividend)</t>
        </is>
      </c>
      <c r="L26" s="561" t="inlineStr">
        <is>
          <t>• Fiscal year-end capital returns</t>
        </is>
      </c>
    </row>
    <row r="27">
      <c r="B27" s="560" t="inlineStr">
        <is>
          <t>• Fed FOMC rate decision</t>
        </is>
      </c>
      <c r="G27" s="560" t="inlineStr">
        <is>
          <t>• Analyst Day / Investor Conference</t>
        </is>
      </c>
      <c r="L27" s="560" t="inlineStr">
        <is>
          <t>• Competitor product / pricing moves</t>
        </is>
      </c>
    </row>
    <row r="28">
      <c r="B28" s="561" t="inlineStr">
        <is>
          <t>• Product cycle / launch event</t>
        </is>
      </c>
      <c r="G28" s="561" t="inlineStr">
        <is>
          <t>• Macro: CPI trajectory &amp; rate outlook revision</t>
        </is>
      </c>
      <c r="L28" s="561" t="inlineStr">
        <is>
          <t>• Regulatory / antitrust headline risk</t>
        </is>
      </c>
    </row>
    <row r="30">
      <c r="A30" s="539" t="inlineStr">
        <is>
          <t xml:space="preserve">  IMPLIED VOLATILITY CONE  —  1σ / 2σ Price Ranges by Horizon</t>
        </is>
      </c>
    </row>
    <row r="31">
      <c r="B31" s="540" t="inlineStr">
        <is>
          <t>Horizon</t>
        </is>
      </c>
      <c r="C31" s="540" t="inlineStr">
        <is>
          <t>Months</t>
        </is>
      </c>
      <c r="D31" s="540" t="inlineStr">
        <is>
          <t>T (yrs)</t>
        </is>
      </c>
      <c r="E31" s="540" t="inlineStr">
        <is>
          <t>σ (range)</t>
        </is>
      </c>
      <c r="F31" s="540" t="inlineStr">
        <is>
          <t>+2σ High</t>
        </is>
      </c>
      <c r="G31" s="540" t="inlineStr">
        <is>
          <t>+1σ High</t>
        </is>
      </c>
      <c r="H31" s="540" t="inlineStr">
        <is>
          <t>Base (μ)</t>
        </is>
      </c>
      <c r="I31" s="540" t="inlineStr">
        <is>
          <t>-1σ Low</t>
        </is>
      </c>
      <c r="J31" s="540" t="inlineStr">
        <is>
          <t>-2σ Low</t>
        </is>
      </c>
      <c r="K31" s="540" t="inlineStr">
        <is>
          <t>Prob &gt;Base</t>
        </is>
      </c>
    </row>
    <row r="32">
      <c r="B32" s="542" t="inlineStr">
        <is>
          <t>1-Month</t>
        </is>
      </c>
      <c r="C32" s="542" t="n">
        <v>1</v>
      </c>
      <c r="D32" s="562" t="n">
        <v>0.083</v>
      </c>
      <c r="E32" s="542" t="inlineStr">
        <is>
          <t>±8.1%</t>
        </is>
      </c>
      <c r="F32" s="543" t="n">
        <v>250.4745019800988</v>
      </c>
      <c r="G32" s="543" t="n">
        <v>231.0254988715035</v>
      </c>
      <c r="H32" s="543" t="n">
        <v>213.0866843007745</v>
      </c>
      <c r="I32" s="543" t="n">
        <v>196.5407941897909</v>
      </c>
      <c r="J32" s="543" t="n">
        <v>181.2796698559984</v>
      </c>
      <c r="K32" s="542" t="inlineStr">
        <is>
          <t>~50%</t>
        </is>
      </c>
    </row>
    <row r="33">
      <c r="B33" s="545" t="inlineStr">
        <is>
          <t>2-Month</t>
        </is>
      </c>
      <c r="C33" s="545" t="n">
        <v>2</v>
      </c>
      <c r="D33" s="563" t="n">
        <v>0.167</v>
      </c>
      <c r="E33" s="545" t="inlineStr">
        <is>
          <t>±11.4%</t>
        </is>
      </c>
      <c r="F33" s="546" t="n">
        <v>267.9297930303926</v>
      </c>
      <c r="G33" s="546" t="n">
        <v>238.9885059599603</v>
      </c>
      <c r="H33" s="546" t="n">
        <v>213.173403879333</v>
      </c>
      <c r="I33" s="546" t="n">
        <v>190.146801993543</v>
      </c>
      <c r="J33" s="546" t="n">
        <v>169.6074916026469</v>
      </c>
      <c r="K33" s="545" t="inlineStr">
        <is>
          <t>~50%</t>
        </is>
      </c>
    </row>
    <row r="34">
      <c r="B34" s="542" t="inlineStr">
        <is>
          <t>3-Month</t>
        </is>
      </c>
      <c r="C34" s="542" t="n">
        <v>3</v>
      </c>
      <c r="D34" s="562" t="n">
        <v>0.25</v>
      </c>
      <c r="E34" s="542" t="inlineStr">
        <is>
          <t>±14.0%</t>
        </is>
      </c>
      <c r="F34" s="543" t="n">
        <v>282.1708738259826</v>
      </c>
      <c r="G34" s="543" t="n">
        <v>245.3075729502953</v>
      </c>
      <c r="H34" s="543" t="n">
        <v>213.2601587500326</v>
      </c>
      <c r="I34" s="543" t="n">
        <v>185.3994752917975</v>
      </c>
      <c r="J34" s="543" t="n">
        <v>161.1785606835416</v>
      </c>
      <c r="K34" s="542" t="inlineStr">
        <is>
          <t>~50%</t>
        </is>
      </c>
    </row>
    <row r="35">
      <c r="B35" s="545" t="inlineStr">
        <is>
          <t>6-Month</t>
        </is>
      </c>
      <c r="C35" s="545" t="n">
        <v>6</v>
      </c>
      <c r="D35" s="563" t="n">
        <v>0.5</v>
      </c>
      <c r="E35" s="545" t="inlineStr">
        <is>
          <t>±19.8%</t>
        </is>
      </c>
      <c r="F35" s="546" t="n">
        <v>317.2573511272331</v>
      </c>
      <c r="G35" s="546" t="n">
        <v>260.2709956048856</v>
      </c>
      <c r="H35" s="546" t="n">
        <v>213.5206352586342</v>
      </c>
      <c r="I35" s="546" t="n">
        <v>175.1676615955394</v>
      </c>
      <c r="J35" s="546" t="n">
        <v>143.7037204000573</v>
      </c>
      <c r="K35" s="545" t="inlineStr">
        <is>
          <t>~50%</t>
        </is>
      </c>
    </row>
    <row r="36">
      <c r="B36" s="542" t="inlineStr">
        <is>
          <t>9-Month</t>
        </is>
      </c>
      <c r="C36" s="542" t="n">
        <v>9</v>
      </c>
      <c r="D36" s="562" t="n">
        <v>0.75</v>
      </c>
      <c r="E36" s="542" t="inlineStr">
        <is>
          <t>±24.2%</t>
        </is>
      </c>
      <c r="F36" s="543" t="n">
        <v>347.209506769431</v>
      </c>
      <c r="G36" s="543" t="n">
        <v>272.4462237522746</v>
      </c>
      <c r="H36" s="543" t="n">
        <v>213.7814299139161</v>
      </c>
      <c r="I36" s="543" t="n">
        <v>167.7486997125504</v>
      </c>
      <c r="J36" s="543" t="n">
        <v>131.6280196394161</v>
      </c>
      <c r="K36" s="542" t="inlineStr">
        <is>
          <t>~50%</t>
        </is>
      </c>
    </row>
    <row r="37">
      <c r="B37" s="545" t="inlineStr">
        <is>
          <t>12-Month</t>
        </is>
      </c>
      <c r="C37" s="545" t="n">
        <v>12</v>
      </c>
      <c r="D37" s="563" t="n">
        <v>1</v>
      </c>
      <c r="E37" s="545" t="inlineStr">
        <is>
          <t>±28.0%</t>
        </is>
      </c>
      <c r="F37" s="546" t="n">
        <v>374.718394106427</v>
      </c>
      <c r="G37" s="546" t="n">
        <v>283.2060698900365</v>
      </c>
      <c r="H37" s="546" t="n">
        <v>214.0425431044634</v>
      </c>
      <c r="I37" s="546" t="n">
        <v>161.7698740581898</v>
      </c>
      <c r="J37" s="546" t="n">
        <v>122.2630406705202</v>
      </c>
      <c r="K37" s="545" t="inlineStr">
        <is>
          <t>~50%</t>
        </is>
      </c>
    </row>
    <row r="39">
      <c r="A39" s="539" t="inlineStr">
        <is>
          <t xml:space="preserve">  METHODOLOGY  —  How These Forecasts Are Constructed</t>
        </is>
      </c>
    </row>
    <row r="40">
      <c r="B40" s="547" t="inlineStr">
        <is>
          <t>1. IV Cone (20%)</t>
        </is>
      </c>
      <c r="C40" s="564" t="inlineStr">
        <is>
          <t>Log-normal price diffusion using annualised implied/historical volatility. Produces 5th–95th percentile price range at each horizon. Accounts for time-decay of uncertainty.</t>
        </is>
      </c>
    </row>
    <row r="41">
      <c r="B41" s="565" t="inlineStr">
        <is>
          <t>2. Earnings Path (25%)</t>
        </is>
      </c>
      <c r="C41" s="566" t="inlineStr">
        <is>
          <t>Quarterly EPS compounding at consensus growth rate, applied to a fading forward P/E (P/E mean-reverts toward sector average over the horizon). Highest weight as fundamentals drive long-run returns.</t>
        </is>
      </c>
    </row>
    <row r="42">
      <c r="B42" s="547" t="inlineStr">
        <is>
          <t>3. Multiple Expansion (20%)</t>
        </is>
      </c>
      <c r="C42" s="564" t="inlineStr">
        <is>
          <t>Projects EV/EBITDA toward a macro-adjusted target (slight compression in rising-rate environment). Converts to equity per share via net debt bridge. Captures re-rating risk/opportunity.</t>
        </is>
      </c>
    </row>
    <row r="43">
      <c r="B43" s="565" t="inlineStr">
        <is>
          <t>4. Momentum (15%)</t>
        </is>
      </c>
      <c r="C43" s="566" t="inlineStr">
        <is>
          <t>CAPM-expected return (Rf + β×ERP) blended 50/50 with a linear interpolation toward the analyst consensus 12-month target. Captures near-term price-following behaviour.</t>
        </is>
      </c>
    </row>
    <row r="44">
      <c r="B44" s="547" t="inlineStr">
        <is>
          <t>5. Monte Carlo (20%)</t>
        </is>
      </c>
      <c r="C44" s="564" t="inlineStr">
        <is>
          <t>10,000-path simulation from the existing DCF model. Median and 10th/90th percentiles extracted at the time horizon as a fraction of the 5-year simulation window.</t>
        </is>
      </c>
    </row>
    <row r="46">
      <c r="A46" s="567" t="inlineStr">
        <is>
          <t>⚠  DISCLAIMER: These projections are model-generated estimates based on public financial data and statistical assumptions. They do not constitute investment advice. Past performance and model outputs do not guarantee future results.</t>
        </is>
      </c>
    </row>
  </sheetData>
  <mergeCells count="47">
    <mergeCell ref="G26:J26"/>
    <mergeCell ref="A23:P23"/>
    <mergeCell ref="G4:J4"/>
    <mergeCell ref="L6"/>
    <mergeCell ref="B6"/>
    <mergeCell ref="L21:O21"/>
    <mergeCell ref="B24:E24"/>
    <mergeCell ref="G25:J25"/>
    <mergeCell ref="B5"/>
    <mergeCell ref="L27:O27"/>
    <mergeCell ref="B26:E26"/>
    <mergeCell ref="B4:E4"/>
    <mergeCell ref="A9:P9"/>
    <mergeCell ref="B7"/>
    <mergeCell ref="E21:H21"/>
    <mergeCell ref="A39:P39"/>
    <mergeCell ref="B25:E25"/>
    <mergeCell ref="L7"/>
    <mergeCell ref="A30:P30"/>
    <mergeCell ref="G27:J27"/>
    <mergeCell ref="C42:O42"/>
    <mergeCell ref="L19:O19"/>
    <mergeCell ref="B27:E27"/>
    <mergeCell ref="L28:O28"/>
    <mergeCell ref="A1:P1"/>
    <mergeCell ref="G7"/>
    <mergeCell ref="E20:H20"/>
    <mergeCell ref="E19:H19"/>
    <mergeCell ref="L24:O24"/>
    <mergeCell ref="L5"/>
    <mergeCell ref="G6"/>
    <mergeCell ref="C41:O41"/>
    <mergeCell ref="G28:J28"/>
    <mergeCell ref="C44:O44"/>
    <mergeCell ref="A46:P46"/>
    <mergeCell ref="A18:P18"/>
    <mergeCell ref="L26:O26"/>
    <mergeCell ref="C40:O40"/>
    <mergeCell ref="L4:O4"/>
    <mergeCell ref="C43:O43"/>
    <mergeCell ref="L20:O20"/>
    <mergeCell ref="G24:J24"/>
    <mergeCell ref="A3:P3"/>
    <mergeCell ref="B28:E28"/>
    <mergeCell ref="L25:O25"/>
    <mergeCell ref="G5"/>
    <mergeCell ref="A2:P2"/>
  </mergeCells>
  <conditionalFormatting sqref="D5:D8">
    <cfRule type="colorScale" priority="1">
      <colorScale>
        <cfvo type="num" val="-0.3"/>
        <cfvo type="num" val="0"/>
        <cfvo type="num" val="0.3"/>
        <color rgb="00C41E3A"/>
        <color rgb="00FFFFFF"/>
        <color rgb="00375623"/>
      </colorScale>
    </cfRule>
  </conditionalFormatting>
  <conditionalFormatting sqref="I5:I8">
    <cfRule type="colorScale" priority="2">
      <colorScale>
        <cfvo type="num" val="-0.3"/>
        <cfvo type="num" val="0"/>
        <cfvo type="num" val="0.3"/>
        <color rgb="00C41E3A"/>
        <color rgb="00FFFFFF"/>
        <color rgb="00375623"/>
      </colorScale>
    </cfRule>
  </conditionalFormatting>
  <conditionalFormatting sqref="N5:N8">
    <cfRule type="colorScale" priority="3">
      <colorScale>
        <cfvo type="num" val="-0.3"/>
        <cfvo type="num" val="0"/>
        <cfvo type="num" val="0.3"/>
        <color rgb="00C41E3A"/>
        <color rgb="00FFFFFF"/>
        <color rgb="00375623"/>
      </colorScale>
    </cfRule>
  </conditionalFormatting>
  <pageMargins left="0.75" right="0.75" top="1" bottom="1" header="0.5" footer="0.5"/>
</worksheet>
</file>

<file path=xl/worksheets/sheet69.xml><?xml version="1.0" encoding="utf-8"?>
<worksheet xmlns="http://schemas.openxmlformats.org/spreadsheetml/2006/main">
  <sheetPr>
    <tabColor rgb="000071E3"/>
    <outlinePr summaryBelow="1" summaryRight="1"/>
    <pageSetUpPr/>
  </sheetPr>
  <dimension ref="A1:N4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 customWidth="1" min="1" max="1"/>
    <col width="26" customWidth="1" min="2" max="2"/>
    <col width="12" customWidth="1" min="3" max="3"/>
    <col width="12" customWidth="1" min="4" max="4"/>
    <col width="14" customWidth="1" min="5" max="5"/>
    <col width="14" customWidth="1" min="6" max="6"/>
    <col width="14" customWidth="1" min="7" max="7"/>
    <col width="16" customWidth="1" min="8" max="8"/>
    <col width="16" customWidth="1" min="9" max="9"/>
    <col width="2" customWidth="1" min="10" max="10"/>
    <col width="22" customWidth="1" min="11" max="11"/>
    <col width="14" customWidth="1" min="12" max="12"/>
    <col width="14" customWidth="1" min="13" max="13"/>
    <col width="1" customWidth="1" min="14" max="14"/>
  </cols>
  <sheetData>
    <row r="1">
      <c r="A1" s="568" t="inlineStr">
        <is>
          <t>AI DISPLACEMENT ANALYSIS  ·  Apple Inc. (AAPL)  ·  Workforce Replaceability by Artificial Intelligence</t>
        </is>
      </c>
    </row>
    <row r="2">
      <c r="A2" s="569" t="inlineStr">
        <is>
          <t>Sector: Technology  ·  Total Employees: 161,000  ·  Methodology: McKinsey MGI · WEF Future of Jobs · OpenAI Occupation Exposure  ·  July 2026</t>
        </is>
      </c>
    </row>
    <row r="3">
      <c r="A3" s="570" t="inlineStr"/>
    </row>
    <row r="4">
      <c r="B4" s="571" t="inlineStr">
        <is>
          <t>OVERALL AI REPLACEABILITY SCORE</t>
        </is>
      </c>
      <c r="F4" s="571" t="inlineStr">
        <is>
          <t>SECTOR BENCHMARKS</t>
        </is>
      </c>
      <c r="K4" s="571" t="inlineStr">
        <is>
          <t>LABOR COST EXPOSURE</t>
        </is>
      </c>
    </row>
    <row r="5">
      <c r="B5" s="572" t="inlineStr">
        <is>
          <t>46.6%</t>
        </is>
      </c>
      <c r="F5" s="573" t="inlineStr">
        <is>
          <t>Sector Average</t>
        </is>
      </c>
      <c r="G5" s="574" t="inlineStr">
        <is>
          <t>41%</t>
        </is>
      </c>
      <c r="H5" s="573" t="inlineStr">
        <is>
          <t>AI Adoption Leader</t>
        </is>
      </c>
      <c r="I5" s="575" t="inlineStr">
        <is>
          <t>55%</t>
        </is>
      </c>
      <c r="K5" s="573" t="inlineStr">
        <is>
          <t>Total Employees</t>
        </is>
      </c>
      <c r="L5" s="576" t="inlineStr">
        <is>
          <t>161,000</t>
        </is>
      </c>
    </row>
    <row r="6">
      <c r="B6" s="577" t="inlineStr">
        <is>
          <t>Fraction of workforce replaceable by AI (10-yr horizon)</t>
        </is>
      </c>
      <c r="F6" s="573" t="inlineStr">
        <is>
          <t>Sector Laggard</t>
        </is>
      </c>
      <c r="G6" s="578" t="inlineStr">
        <is>
          <t>28%</t>
        </is>
      </c>
      <c r="H6" s="573" t="inlineStr">
        <is>
          <t>This Company</t>
        </is>
      </c>
      <c r="I6" s="574" t="inlineStr">
        <is>
          <t>46.6%</t>
        </is>
      </c>
      <c r="K6" s="573" t="inlineStr">
        <is>
          <t>Avg. Fully-Loaded Cost/Emp</t>
        </is>
      </c>
      <c r="L6" s="579" t="n">
        <v>185000</v>
      </c>
    </row>
    <row r="7">
      <c r="K7" s="573" t="inlineStr">
        <is>
          <t>Total Labor Cost Est.</t>
        </is>
      </c>
      <c r="L7" s="580" t="n">
        <v>29785000000</v>
      </c>
    </row>
    <row r="9">
      <c r="A9" s="581" t="inlineStr">
        <is>
          <t xml:space="preserve">  DISPLACEMENT HORIZON SUMMARY  —  Employees At Risk by Time Period</t>
        </is>
      </c>
    </row>
    <row r="10">
      <c r="B10" s="582" t="inlineStr">
        <is>
          <t>Horizon</t>
        </is>
      </c>
      <c r="C10" s="583" t="inlineStr">
        <is>
          <t>Employees At Risk</t>
        </is>
      </c>
      <c r="D10" s="584" t="inlineStr">
        <is>
          <t>% of Workforce</t>
        </is>
      </c>
      <c r="E10" s="585" t="inlineStr">
        <is>
          <t>Labor Cost Exposed</t>
        </is>
      </c>
      <c r="F10" s="586" t="inlineStr">
        <is>
          <t>Potential Savings (70%)</t>
        </is>
      </c>
      <c r="G10" s="586" t="inlineStr">
        <is>
          <t>EBITDA Uplift (60%)</t>
        </is>
      </c>
      <c r="H10" s="586" t="inlineStr">
        <is>
          <t>EV Uplift (10x)</t>
        </is>
      </c>
    </row>
    <row r="11">
      <c r="B11" s="573" t="inlineStr">
        <is>
          <t>1–3 Year (Near Term)</t>
        </is>
      </c>
      <c r="C11" s="587" t="n">
        <v>28674</v>
      </c>
      <c r="D11" s="588" t="n">
        <v>0.1780993788819876</v>
      </c>
      <c r="E11" s="589" t="n">
        <v>5304690000</v>
      </c>
      <c r="F11" s="590" t="n">
        <v>3713283000</v>
      </c>
      <c r="G11" s="590" t="n">
        <v>2227969800</v>
      </c>
      <c r="H11" s="591" t="n">
        <v>22279698000</v>
      </c>
    </row>
    <row r="12">
      <c r="B12" s="592" t="inlineStr">
        <is>
          <t>3–5 Year (Mid Term)</t>
        </is>
      </c>
      <c r="C12" s="593" t="n">
        <v>52517</v>
      </c>
      <c r="D12" s="594" t="n">
        <v>0.3261925465838509</v>
      </c>
      <c r="E12" s="595" t="n">
        <v>9715645000</v>
      </c>
      <c r="F12" s="596" t="n">
        <v>6800951500</v>
      </c>
      <c r="G12" s="596" t="n">
        <v>4080570900</v>
      </c>
      <c r="H12" s="597" t="n">
        <v>40805709000</v>
      </c>
    </row>
    <row r="13">
      <c r="B13" s="573" t="inlineStr">
        <is>
          <t>5–10 Year (Long Term)</t>
        </is>
      </c>
      <c r="C13" s="587" t="n">
        <v>75074</v>
      </c>
      <c r="D13" s="588" t="n">
        <v>0.4662981366459628</v>
      </c>
      <c r="E13" s="589" t="n">
        <v>13888690000</v>
      </c>
      <c r="F13" s="590" t="n">
        <v>9722083000</v>
      </c>
      <c r="G13" s="590" t="n">
        <v>5833249800</v>
      </c>
      <c r="H13" s="591" t="n">
        <v>58332498000</v>
      </c>
    </row>
    <row r="14">
      <c r="B14" s="598" t="inlineStr">
        <is>
          <t>Est. Transition Cost (Retraining + Severance)</t>
        </is>
      </c>
      <c r="C14" s="599" t="inlineStr"/>
      <c r="D14" s="599" t="inlineStr"/>
      <c r="E14" s="600" t="n">
        <v>2100680000</v>
      </c>
      <c r="F14" s="601" t="n">
        <v>787755000</v>
      </c>
      <c r="G14" s="601" t="n">
        <v>1312925000</v>
      </c>
      <c r="H14" s="599" t="inlineStr"/>
    </row>
    <row r="16">
      <c r="A16" s="581" t="inlineStr">
        <is>
          <t xml:space="preserve">  POSITION-BY-POSITION BREAKDOWN  —  Headcount at Risk by Function</t>
        </is>
      </c>
    </row>
    <row r="17">
      <c r="B17" s="582" t="inlineStr">
        <is>
          <t>Job Function</t>
        </is>
      </c>
      <c r="C17" s="582" t="inlineStr">
        <is>
          <t>Headcount</t>
        </is>
      </c>
      <c r="D17" s="583" t="inlineStr">
        <is>
          <t>Near (1-3yr)</t>
        </is>
      </c>
      <c r="E17" s="584" t="inlineStr">
        <is>
          <t>% Near</t>
        </is>
      </c>
      <c r="F17" s="583" t="inlineStr">
        <is>
          <t>Mid (3-5yr)</t>
        </is>
      </c>
      <c r="G17" s="584" t="inlineStr">
        <is>
          <t>% Mid</t>
        </is>
      </c>
      <c r="H17" s="583" t="inlineStr">
        <is>
          <t>Long (5-10yr)</t>
        </is>
      </c>
      <c r="I17" s="584" t="inlineStr">
        <is>
          <t>% Long</t>
        </is>
      </c>
      <c r="J17" s="582" t="inlineStr">
        <is>
          <t>Peak Timeline</t>
        </is>
      </c>
      <c r="K17" s="582" t="inlineStr">
        <is>
          <t>AI Risk Driver</t>
        </is>
      </c>
    </row>
    <row r="18">
      <c r="B18" s="573" t="inlineStr">
        <is>
          <t>Customer Support</t>
        </is>
      </c>
      <c r="C18" s="602" t="n">
        <v>12880</v>
      </c>
      <c r="D18" s="603" t="n">
        <v>5796</v>
      </c>
      <c r="E18" s="604" t="n">
        <v>0.45</v>
      </c>
      <c r="F18" s="603" t="n">
        <v>8372</v>
      </c>
      <c r="G18" s="604" t="n">
        <v>0.65</v>
      </c>
      <c r="H18" s="587" t="n">
        <v>10304</v>
      </c>
      <c r="I18" s="605" t="n">
        <v>0.8</v>
      </c>
      <c r="J18" s="606" t="inlineStr">
        <is>
          <t>1-3yr</t>
        </is>
      </c>
      <c r="K18" s="607" t="inlineStr">
        <is>
          <t>LLM-based agents handle Tier 1-2 tickets; high near-term displacement</t>
        </is>
      </c>
    </row>
    <row r="19">
      <c r="B19" s="592" t="inlineStr">
        <is>
          <t>Finance &amp; Accounting</t>
        </is>
      </c>
      <c r="C19" s="608" t="n">
        <v>6440</v>
      </c>
      <c r="D19" s="609" t="n">
        <v>2254</v>
      </c>
      <c r="E19" s="610" t="n">
        <v>0.35</v>
      </c>
      <c r="F19" s="609" t="n">
        <v>3542</v>
      </c>
      <c r="G19" s="610" t="n">
        <v>0.55</v>
      </c>
      <c r="H19" s="593" t="n">
        <v>4508</v>
      </c>
      <c r="I19" s="611" t="n">
        <v>0.7</v>
      </c>
      <c r="J19" s="612" t="inlineStr">
        <is>
          <t>1-3yr</t>
        </is>
      </c>
      <c r="K19" s="613" t="inlineStr">
        <is>
          <t>AP/AR automation, financial reporting, audit sampling — mature AI tools</t>
        </is>
      </c>
    </row>
    <row r="20">
      <c r="B20" s="573" t="inlineStr">
        <is>
          <t>HR &amp; Recruiting</t>
        </is>
      </c>
      <c r="C20" s="602" t="n">
        <v>4830</v>
      </c>
      <c r="D20" s="603" t="n">
        <v>1449</v>
      </c>
      <c r="E20" s="604" t="n">
        <v>0.3</v>
      </c>
      <c r="F20" s="603" t="n">
        <v>2318</v>
      </c>
      <c r="G20" s="604" t="n">
        <v>0.48</v>
      </c>
      <c r="H20" s="587" t="n">
        <v>2995</v>
      </c>
      <c r="I20" s="605" t="n">
        <v>0.62</v>
      </c>
      <c r="J20" s="606" t="inlineStr">
        <is>
          <t>1-3yr</t>
        </is>
      </c>
      <c r="K20" s="607" t="inlineStr">
        <is>
          <t>Screening, scheduling, onboarding docs; strategic HR and culture work persists</t>
        </is>
      </c>
    </row>
    <row r="21">
      <c r="B21" s="592" t="inlineStr">
        <is>
          <t>IT &amp; Systems Admin</t>
        </is>
      </c>
      <c r="C21" s="608" t="n">
        <v>8050</v>
      </c>
      <c r="D21" s="609" t="n">
        <v>2012</v>
      </c>
      <c r="E21" s="610" t="n">
        <v>0.25</v>
      </c>
      <c r="F21" s="609" t="n">
        <v>3622</v>
      </c>
      <c r="G21" s="610" t="n">
        <v>0.45</v>
      </c>
      <c r="H21" s="593" t="n">
        <v>4830</v>
      </c>
      <c r="I21" s="611" t="n">
        <v>0.6</v>
      </c>
      <c r="J21" s="612" t="inlineStr">
        <is>
          <t>1-3yr</t>
        </is>
      </c>
      <c r="K21" s="613" t="inlineStr">
        <is>
          <t>AIOps, auto-provisioning, incident response automation well advanced</t>
        </is>
      </c>
    </row>
    <row r="22">
      <c r="B22" s="573" t="inlineStr">
        <is>
          <t>Operations / Supply Ch.</t>
        </is>
      </c>
      <c r="C22" s="602" t="n">
        <v>12880</v>
      </c>
      <c r="D22" s="603" t="n">
        <v>2834</v>
      </c>
      <c r="E22" s="604" t="n">
        <v>0.22</v>
      </c>
      <c r="F22" s="603" t="n">
        <v>5152</v>
      </c>
      <c r="G22" s="604" t="n">
        <v>0.4</v>
      </c>
      <c r="H22" s="587" t="n">
        <v>7470</v>
      </c>
      <c r="I22" s="605" t="n">
        <v>0.58</v>
      </c>
      <c r="J22" s="606" t="inlineStr">
        <is>
          <t>1-3yr</t>
        </is>
      </c>
      <c r="K22" s="607" t="inlineStr">
        <is>
          <t>Demand planning, logistics routing, quality inspection via computer vision</t>
        </is>
      </c>
    </row>
    <row r="23">
      <c r="B23" s="592" t="inlineStr">
        <is>
          <t>Legal &amp; Compliance</t>
        </is>
      </c>
      <c r="C23" s="608" t="n">
        <v>4830</v>
      </c>
      <c r="D23" s="609" t="n">
        <v>966</v>
      </c>
      <c r="E23" s="610" t="n">
        <v>0.2</v>
      </c>
      <c r="F23" s="609" t="n">
        <v>1835</v>
      </c>
      <c r="G23" s="610" t="n">
        <v>0.38</v>
      </c>
      <c r="H23" s="614" t="n">
        <v>2512</v>
      </c>
      <c r="I23" s="615" t="n">
        <v>0.52</v>
      </c>
      <c r="J23" s="612" t="inlineStr">
        <is>
          <t>1-3yr</t>
        </is>
      </c>
      <c r="K23" s="613" t="inlineStr">
        <is>
          <t>Contract review, regulatory research; judgment and advocacy remain human</t>
        </is>
      </c>
    </row>
    <row r="24">
      <c r="B24" s="573" t="inlineStr">
        <is>
          <t>Sales &amp; Marketing</t>
        </is>
      </c>
      <c r="C24" s="602" t="n">
        <v>11270</v>
      </c>
      <c r="D24" s="603" t="n">
        <v>2254</v>
      </c>
      <c r="E24" s="604" t="n">
        <v>0.2</v>
      </c>
      <c r="F24" s="603" t="n">
        <v>3944</v>
      </c>
      <c r="G24" s="604" t="n">
        <v>0.35</v>
      </c>
      <c r="H24" s="616" t="n">
        <v>5635</v>
      </c>
      <c r="I24" s="617" t="n">
        <v>0.5</v>
      </c>
      <c r="J24" s="606" t="inlineStr">
        <is>
          <t>1-3yr</t>
        </is>
      </c>
      <c r="K24" s="607" t="inlineStr">
        <is>
          <t>AI SDRs, content generation, lead scoring; human relationship layer persists</t>
        </is>
      </c>
    </row>
    <row r="25">
      <c r="B25" s="592" t="inlineStr">
        <is>
          <t>Retail / Store Ops</t>
        </is>
      </c>
      <c r="C25" s="608" t="n">
        <v>24150</v>
      </c>
      <c r="D25" s="609" t="n">
        <v>4347</v>
      </c>
      <c r="E25" s="610" t="n">
        <v>0.18</v>
      </c>
      <c r="F25" s="609" t="n">
        <v>7728</v>
      </c>
      <c r="G25" s="610" t="n">
        <v>0.32</v>
      </c>
      <c r="H25" s="614" t="n">
        <v>12075</v>
      </c>
      <c r="I25" s="615" t="n">
        <v>0.5</v>
      </c>
      <c r="J25" s="612" t="inlineStr">
        <is>
          <t>3-5yr</t>
        </is>
      </c>
      <c r="K25" s="613" t="inlineStr">
        <is>
          <t>Checkout automation, inventory AI; customer experience roles more resilient</t>
        </is>
      </c>
    </row>
    <row r="26">
      <c r="B26" s="573" t="inlineStr">
        <is>
          <t>Software Engineering</t>
        </is>
      </c>
      <c r="C26" s="602" t="n">
        <v>35420</v>
      </c>
      <c r="D26" s="603" t="n">
        <v>4250</v>
      </c>
      <c r="E26" s="604" t="n">
        <v>0.12</v>
      </c>
      <c r="F26" s="603" t="n">
        <v>9918</v>
      </c>
      <c r="G26" s="604" t="n">
        <v>0.28</v>
      </c>
      <c r="H26" s="616" t="n">
        <v>14876</v>
      </c>
      <c r="I26" s="617" t="n">
        <v>0.42</v>
      </c>
      <c r="J26" s="606" t="inlineStr">
        <is>
          <t>1-3yr</t>
        </is>
      </c>
      <c r="K26" s="607" t="inlineStr">
        <is>
          <t>Copilot/Codex-class tools handle boilerplate, tests, docs; senior engineers persist</t>
        </is>
      </c>
    </row>
    <row r="27">
      <c r="B27" s="592" t="inlineStr">
        <is>
          <t>Product Management</t>
        </is>
      </c>
      <c r="C27" s="608" t="n">
        <v>9660</v>
      </c>
      <c r="D27" s="609" t="n">
        <v>966</v>
      </c>
      <c r="E27" s="610" t="n">
        <v>0.1</v>
      </c>
      <c r="F27" s="609" t="n">
        <v>1932</v>
      </c>
      <c r="G27" s="610" t="n">
        <v>0.2</v>
      </c>
      <c r="H27" s="618" t="n">
        <v>2898</v>
      </c>
      <c r="I27" s="619" t="n">
        <v>0.3</v>
      </c>
      <c r="J27" s="612" t="inlineStr">
        <is>
          <t>1-3yr</t>
        </is>
      </c>
      <c r="K27" s="613" t="inlineStr">
        <is>
          <t>Roadmapping, spec writing partially automatable; strategic judgment remains human</t>
        </is>
      </c>
    </row>
    <row r="28">
      <c r="B28" s="573" t="inlineStr">
        <is>
          <t>Data Science / ML</t>
        </is>
      </c>
      <c r="C28" s="602" t="n">
        <v>8050</v>
      </c>
      <c r="D28" s="603" t="n">
        <v>644</v>
      </c>
      <c r="E28" s="604" t="n">
        <v>0.08</v>
      </c>
      <c r="F28" s="603" t="n">
        <v>1449</v>
      </c>
      <c r="G28" s="604" t="n">
        <v>0.18</v>
      </c>
      <c r="H28" s="620" t="n">
        <v>2012</v>
      </c>
      <c r="I28" s="621" t="n">
        <v>0.25</v>
      </c>
      <c r="J28" s="606" t="inlineStr">
        <is>
          <t>3-5yr</t>
        </is>
      </c>
      <c r="K28" s="607" t="inlineStr">
        <is>
          <t>Ironic: AI automates parts of ML workflows; AutoML displaces junior roles</t>
        </is>
      </c>
    </row>
    <row r="29">
      <c r="B29" s="592" t="inlineStr">
        <is>
          <t>Hardware Engineering</t>
        </is>
      </c>
      <c r="C29" s="608" t="n">
        <v>22540</v>
      </c>
      <c r="D29" s="609" t="n">
        <v>902</v>
      </c>
      <c r="E29" s="610" t="n">
        <v>0.04</v>
      </c>
      <c r="F29" s="609" t="n">
        <v>2705</v>
      </c>
      <c r="G29" s="610" t="n">
        <v>0.12</v>
      </c>
      <c r="H29" s="618" t="n">
        <v>4959</v>
      </c>
      <c r="I29" s="619" t="n">
        <v>0.22</v>
      </c>
      <c r="J29" s="612" t="inlineStr">
        <is>
          <t>3-5yr</t>
        </is>
      </c>
      <c r="K29" s="613" t="inlineStr">
        <is>
          <t>Physical design, verification; lower near-term AI impact</t>
        </is>
      </c>
    </row>
    <row r="30">
      <c r="B30" s="622" t="inlineStr">
        <is>
          <t>TOTAL</t>
        </is>
      </c>
      <c r="C30" s="623" t="n">
        <v>161000</v>
      </c>
      <c r="D30" s="623" t="n">
        <v>28674</v>
      </c>
      <c r="E30" s="624" t="n">
        <v>0.1780993788819876</v>
      </c>
      <c r="F30" s="623" t="n">
        <v>52517</v>
      </c>
      <c r="G30" s="624" t="n">
        <v>0.3261925465838509</v>
      </c>
      <c r="H30" s="625" t="n">
        <v>75074</v>
      </c>
      <c r="I30" s="626" t="n">
        <v>0.4662981366459628</v>
      </c>
    </row>
    <row r="32">
      <c r="A32" s="581" t="inlineStr">
        <is>
          <t xml:space="preserve">  AI CAPABILITY EXPOSURE  —  Which AI Technologies Drive Displacement</t>
        </is>
      </c>
    </row>
    <row r="33">
      <c r="B33" s="582" t="inlineStr">
        <is>
          <t>AI Capability</t>
        </is>
      </c>
      <c r="C33" s="582" t="inlineStr">
        <is>
          <t>Leading Tool</t>
        </is>
      </c>
      <c r="D33" s="582" t="inlineStr">
        <is>
          <t>Available</t>
        </is>
      </c>
      <c r="E33" s="582" t="inlineStr">
        <is>
          <t>Exposure %</t>
        </is>
      </c>
      <c r="F33" s="582" t="inlineStr">
        <is>
          <t>Affected Roles</t>
        </is>
      </c>
    </row>
    <row r="34">
      <c r="B34" s="573" t="inlineStr">
        <is>
          <t>Language &amp; Text (LLMs)</t>
        </is>
      </c>
      <c r="C34" s="627" t="inlineStr">
        <is>
          <t>GPT-4 / Claude</t>
        </is>
      </c>
      <c r="D34" s="606" t="inlineStr">
        <is>
          <t>Now</t>
        </is>
      </c>
      <c r="E34" s="605" t="n">
        <v>0.72</v>
      </c>
      <c r="F34" s="628" t="inlineStr">
        <is>
          <t>Contract review, code, content, customer comms</t>
        </is>
      </c>
    </row>
    <row r="35">
      <c r="B35" s="592" t="inlineStr">
        <is>
          <t>Vision &amp; Image Analysis (CV)</t>
        </is>
      </c>
      <c r="C35" s="629" t="inlineStr">
        <is>
          <t>GPT-4V / Gemini</t>
        </is>
      </c>
      <c r="D35" s="612" t="inlineStr">
        <is>
          <t>Now</t>
        </is>
      </c>
      <c r="E35" s="615" t="n">
        <v>0.58</v>
      </c>
      <c r="F35" s="630" t="inlineStr">
        <is>
          <t>Quality inspection, document processing, retail</t>
        </is>
      </c>
    </row>
    <row r="36">
      <c r="B36" s="573" t="inlineStr">
        <is>
          <t>Code Generation</t>
        </is>
      </c>
      <c r="C36" s="627" t="inlineStr">
        <is>
          <t>GitHub Copilot</t>
        </is>
      </c>
      <c r="D36" s="606" t="inlineStr">
        <is>
          <t>Now</t>
        </is>
      </c>
      <c r="E36" s="605" t="n">
        <v>0.65</v>
      </c>
      <c r="F36" s="628" t="inlineStr">
        <is>
          <t>Software testing, boilerplate, documentation</t>
        </is>
      </c>
    </row>
    <row r="37">
      <c r="B37" s="592" t="inlineStr">
        <is>
          <t>Data Analysis &amp; FP&amp;A</t>
        </is>
      </c>
      <c r="C37" s="629" t="inlineStr">
        <is>
          <t>AI Analysts</t>
        </is>
      </c>
      <c r="D37" s="612" t="inlineStr">
        <is>
          <t>1-2yr</t>
        </is>
      </c>
      <c r="E37" s="611" t="n">
        <v>0.68</v>
      </c>
      <c r="F37" s="630" t="inlineStr">
        <is>
          <t>Financial modeling, forecasting, reporting</t>
        </is>
      </c>
    </row>
    <row r="38">
      <c r="B38" s="573" t="inlineStr">
        <is>
          <t>Autonomous Agents</t>
        </is>
      </c>
      <c r="C38" s="627" t="inlineStr">
        <is>
          <t>Multi-step workflows</t>
        </is>
      </c>
      <c r="D38" s="606" t="inlineStr">
        <is>
          <t>2-4yr</t>
        </is>
      </c>
      <c r="E38" s="617" t="n">
        <v>0.45</v>
      </c>
      <c r="F38" s="628" t="inlineStr">
        <is>
          <t>End-to-end task completion across systems</t>
        </is>
      </c>
    </row>
    <row r="39">
      <c r="B39" s="592" t="inlineStr">
        <is>
          <t>Physical Robotics</t>
        </is>
      </c>
      <c r="C39" s="629" t="inlineStr">
        <is>
          <t>Humanoid robots</t>
        </is>
      </c>
      <c r="D39" s="612" t="inlineStr">
        <is>
          <t>4-8yr</t>
        </is>
      </c>
      <c r="E39" s="619" t="n">
        <v>0.3</v>
      </c>
      <c r="F39" s="630" t="inlineStr">
        <is>
          <t>Warehouse, manufacturing, maintenance tasks</t>
        </is>
      </c>
    </row>
    <row r="41">
      <c r="A41" s="631" t="inlineStr">
        <is>
          <t>NOTE: Estimates based on task-level automation probability (McKinsey Global Institute occupational database), WEF Future of Jobs 2023, and OpenAI occupational exposure framework. Displacement = role made redundant or reduced by &gt;50%. Partial augmentation roles not counted as displaced. Actual outcomes depend on adoption speed, regulatory environment, and management strategy.</t>
        </is>
      </c>
    </row>
  </sheetData>
  <mergeCells count="12">
    <mergeCell ref="A3:N3"/>
    <mergeCell ref="B4:E4"/>
    <mergeCell ref="A32:M32"/>
    <mergeCell ref="K4:M4"/>
    <mergeCell ref="F4:I4"/>
    <mergeCell ref="A2:N2"/>
    <mergeCell ref="B6:E6"/>
    <mergeCell ref="A9:M9"/>
    <mergeCell ref="B5:E5"/>
    <mergeCell ref="A41:M41"/>
    <mergeCell ref="A16:M16"/>
    <mergeCell ref="A1:N1"/>
  </mergeCells>
  <pageMargins left="0.75" right="0.75" top="1" bottom="1" header="0.5" footer="0.5"/>
</worksheet>
</file>

<file path=xl/worksheets/sheet70.xml><?xml version="1.0" encoding="utf-8"?>
<worksheet xmlns="http://schemas.openxmlformats.org/spreadsheetml/2006/main">
  <sheetPr>
    <tabColor rgb="000071E3"/>
    <outlinePr summaryBelow="1" summaryRight="1"/>
    <pageSetUpPr/>
  </sheetPr>
  <dimension ref="B1:F36"/>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 customWidth="1" min="1" max="1"/>
    <col width="28" customWidth="1" min="2" max="2"/>
    <col width="14" customWidth="1" min="3" max="3"/>
    <col width="14" customWidth="1" min="4" max="4"/>
    <col width="14" customWidth="1" min="5" max="5"/>
    <col width="20" customWidth="1" min="6" max="6"/>
    <col width="2" customWidth="1" min="7" max="7"/>
  </cols>
  <sheetData>
    <row r="1" ht="38" customHeight="1">
      <c r="B1" s="632" t="inlineStr">
        <is>
          <t>MANAGEMENT QUALITY SCORECARD</t>
        </is>
      </c>
    </row>
    <row r="2" ht="22" customHeight="1">
      <c r="B2" s="633" t="inlineStr">
        <is>
          <t>Capital Allocation  |  Guidance Accuracy  |  Compensation Alignment  |  Board Quality</t>
        </is>
      </c>
    </row>
    <row r="4" ht="45" customHeight="1">
      <c r="B4" s="634" t="inlineStr">
        <is>
          <t>OVERALL MANAGEMENT QUALITY:  8.7 / 10  —  Grade: A+</t>
        </is>
      </c>
    </row>
    <row r="6" ht="20" customHeight="1">
      <c r="B6" s="635" t="inlineStr">
        <is>
          <t>PILLAR</t>
        </is>
      </c>
      <c r="C6" s="635" t="inlineStr">
        <is>
          <t>SCORE</t>
        </is>
      </c>
      <c r="D6" s="635" t="inlineStr">
        <is>
          <t>GRADE</t>
        </is>
      </c>
      <c r="E6" s="635" t="inlineStr">
        <is>
          <t>WEIGHT</t>
        </is>
      </c>
      <c r="F6" s="635" t="inlineStr">
        <is>
          <t>VS SECTOR</t>
        </is>
      </c>
    </row>
    <row r="7" ht="22" customHeight="1">
      <c r="B7" s="636" t="inlineStr">
        <is>
          <t>Capital Allocation</t>
        </is>
      </c>
      <c r="C7" s="637" t="inlineStr">
        <is>
          <t>9.0/10</t>
        </is>
      </c>
      <c r="D7" s="638" t="inlineStr">
        <is>
          <t>A+</t>
        </is>
      </c>
      <c r="E7" s="638" t="inlineStr">
        <is>
          <t>40%</t>
        </is>
      </c>
      <c r="F7" s="639" t="inlineStr">
        <is>
          <t>+3.0</t>
        </is>
      </c>
    </row>
    <row r="8" ht="22" customHeight="1">
      <c r="B8" s="640" t="inlineStr">
        <is>
          <t>Guidance Accuracy</t>
        </is>
      </c>
      <c r="C8" s="641" t="inlineStr">
        <is>
          <t>8.3/10</t>
        </is>
      </c>
      <c r="D8" s="642" t="inlineStr">
        <is>
          <t>A</t>
        </is>
      </c>
      <c r="E8" s="642" t="inlineStr">
        <is>
          <t>35%</t>
        </is>
      </c>
      <c r="F8" s="643" t="inlineStr">
        <is>
          <t>+1.8</t>
        </is>
      </c>
    </row>
    <row r="9" ht="22" customHeight="1">
      <c r="B9" s="636" t="inlineStr">
        <is>
          <t>Compensation Align</t>
        </is>
      </c>
      <c r="C9" s="637" t="inlineStr">
        <is>
          <t>8.8/10</t>
        </is>
      </c>
      <c r="D9" s="638" t="inlineStr">
        <is>
          <t>A+</t>
        </is>
      </c>
      <c r="E9" s="638" t="inlineStr">
        <is>
          <t>25%</t>
        </is>
      </c>
      <c r="F9" s="639" t="inlineStr">
        <is>
          <t>+3.0</t>
        </is>
      </c>
    </row>
    <row r="10" ht="22" customHeight="1">
      <c r="B10" s="640" t="inlineStr">
        <is>
          <t>Board Quality</t>
        </is>
      </c>
      <c r="C10" s="641" t="inlineStr">
        <is>
          <t>7.5/10</t>
        </is>
      </c>
      <c r="D10" s="642" t="inlineStr">
        <is>
          <t>A</t>
        </is>
      </c>
      <c r="E10" s="642" t="inlineStr">
        <is>
          <t xml:space="preserve"> —</t>
        </is>
      </c>
      <c r="F10" s="644" t="inlineStr">
        <is>
          <t>N/A</t>
        </is>
      </c>
    </row>
    <row r="12">
      <c r="B12" s="645" t="inlineStr">
        <is>
          <t>CAPITAL ALLOCATION DETAIL</t>
        </is>
      </c>
    </row>
    <row r="13" ht="20" customHeight="1">
      <c r="B13" s="646" t="inlineStr">
        <is>
          <t>ROIC (5yr avg)</t>
        </is>
      </c>
      <c r="C13" s="647" t="inlineStr">
        <is>
          <t>11.5%</t>
        </is>
      </c>
      <c r="D13" s="648" t="inlineStr"/>
      <c r="E13" s="648" t="inlineStr"/>
      <c r="F13" s="648" t="inlineStr"/>
    </row>
    <row r="14" ht="20" customHeight="1">
      <c r="B14" s="649" t="inlineStr">
        <is>
          <t>WACC</t>
        </is>
      </c>
      <c r="C14" s="650" t="inlineStr">
        <is>
          <t>8.2%</t>
        </is>
      </c>
      <c r="D14" s="651" t="inlineStr"/>
      <c r="E14" s="651" t="inlineStr"/>
      <c r="F14" s="651" t="inlineStr"/>
    </row>
    <row r="15" ht="20" customHeight="1">
      <c r="B15" s="646" t="inlineStr">
        <is>
          <t>ROIC vs WACC (spread)</t>
        </is>
      </c>
      <c r="C15" s="647" t="inlineStr">
        <is>
          <t>+3.3pp</t>
        </is>
      </c>
      <c r="D15" s="648" t="inlineStr"/>
      <c r="E15" s="648" t="inlineStr"/>
      <c r="F15" s="648" t="inlineStr"/>
    </row>
    <row r="16" ht="20" customHeight="1">
      <c r="B16" s="649" t="inlineStr">
        <is>
          <t>ROIC Trend (5yr)</t>
        </is>
      </c>
      <c r="C16" s="650" t="inlineStr">
        <is>
          <t>+55.6%</t>
        </is>
      </c>
      <c r="D16" s="651" t="inlineStr"/>
      <c r="E16" s="651" t="inlineStr"/>
      <c r="F16" s="651" t="inlineStr"/>
    </row>
    <row r="17" ht="20" customHeight="1">
      <c r="B17" s="646" t="inlineStr">
        <is>
          <t>Buyback Timing Score</t>
        </is>
      </c>
      <c r="C17" s="647" t="inlineStr">
        <is>
          <t>7/10</t>
        </is>
      </c>
      <c r="D17" s="648" t="inlineStr"/>
      <c r="E17" s="648" t="inlineStr"/>
      <c r="F17" s="648" t="inlineStr"/>
    </row>
    <row r="18" ht="20" customHeight="1">
      <c r="B18" s="649" t="inlineStr">
        <is>
          <t>M&amp;A Track Record Score</t>
        </is>
      </c>
      <c r="C18" s="650" t="inlineStr">
        <is>
          <t>8/10</t>
        </is>
      </c>
      <c r="D18" s="651" t="inlineStr"/>
      <c r="E18" s="651" t="inlineStr"/>
      <c r="F18" s="651" t="inlineStr"/>
    </row>
    <row r="19" ht="20" customHeight="1">
      <c r="B19" s="646" t="inlineStr">
        <is>
          <t>Consecutive Div Growth</t>
        </is>
      </c>
      <c r="C19" s="647" t="inlineStr">
        <is>
          <t>12 years</t>
        </is>
      </c>
      <c r="D19" s="648" t="inlineStr"/>
      <c r="E19" s="648" t="inlineStr"/>
      <c r="F19" s="648" t="inlineStr"/>
    </row>
    <row r="22">
      <c r="B22" s="645" t="inlineStr">
        <is>
          <t>GUIDANCE ACCURACY HISTORY</t>
        </is>
      </c>
    </row>
    <row r="23" ht="18" customHeight="1">
      <c r="B23" s="652" t="inlineStr">
        <is>
          <t>Year</t>
        </is>
      </c>
      <c r="C23" s="652" t="inlineStr">
        <is>
          <t>Metric</t>
        </is>
      </c>
      <c r="D23" s="652" t="inlineStr">
        <is>
          <t>Guided</t>
        </is>
      </c>
      <c r="E23" s="652" t="inlineStr">
        <is>
          <t>Actual</t>
        </is>
      </c>
      <c r="F23" s="652" t="inlineStr">
        <is>
          <t>Miss %</t>
        </is>
      </c>
    </row>
    <row r="24" ht="18" customHeight="1">
      <c r="B24" s="653" t="inlineStr">
        <is>
          <t>FY2021</t>
        </is>
      </c>
      <c r="C24" s="653" t="inlineStr">
        <is>
          <t>Revenue</t>
        </is>
      </c>
      <c r="D24" s="654" t="inlineStr">
        <is>
          <t>1.05</t>
        </is>
      </c>
      <c r="E24" s="654" t="inlineStr">
        <is>
          <t>1.03</t>
        </is>
      </c>
      <c r="F24" s="655" t="inlineStr">
        <is>
          <t>-1.9%</t>
        </is>
      </c>
    </row>
    <row r="25" ht="18" customHeight="1">
      <c r="B25" s="656" t="inlineStr">
        <is>
          <t>FY2022</t>
        </is>
      </c>
      <c r="C25" s="656" t="inlineStr">
        <is>
          <t>Revenue</t>
        </is>
      </c>
      <c r="D25" s="657" t="inlineStr">
        <is>
          <t>1.10</t>
        </is>
      </c>
      <c r="E25" s="657" t="inlineStr">
        <is>
          <t>1.12</t>
        </is>
      </c>
      <c r="F25" s="658" t="inlineStr">
        <is>
          <t>+1.8%</t>
        </is>
      </c>
    </row>
    <row r="26" ht="18" customHeight="1">
      <c r="B26" s="653" t="inlineStr">
        <is>
          <t>FY2023</t>
        </is>
      </c>
      <c r="C26" s="653" t="inlineStr">
        <is>
          <t>Revenue</t>
        </is>
      </c>
      <c r="D26" s="654" t="inlineStr">
        <is>
          <t>1.08</t>
        </is>
      </c>
      <c r="E26" s="654" t="inlineStr">
        <is>
          <t>1.07</t>
        </is>
      </c>
      <c r="F26" s="655" t="inlineStr">
        <is>
          <t>-0.9%</t>
        </is>
      </c>
    </row>
    <row r="27" ht="18" customHeight="1">
      <c r="B27" s="656" t="inlineStr">
        <is>
          <t>FY2021</t>
        </is>
      </c>
      <c r="C27" s="656" t="inlineStr">
        <is>
          <t>EBITDA Margin</t>
        </is>
      </c>
      <c r="D27" s="657" t="inlineStr">
        <is>
          <t>0.22</t>
        </is>
      </c>
      <c r="E27" s="657" t="inlineStr">
        <is>
          <t>0.21</t>
        </is>
      </c>
      <c r="F27" s="659" t="inlineStr">
        <is>
          <t>-0.5%</t>
        </is>
      </c>
    </row>
    <row r="28" ht="18" customHeight="1">
      <c r="B28" s="653" t="inlineStr">
        <is>
          <t>FY2022</t>
        </is>
      </c>
      <c r="C28" s="653" t="inlineStr">
        <is>
          <t>EBITDA Margin</t>
        </is>
      </c>
      <c r="D28" s="654" t="inlineStr">
        <is>
          <t>0.23</t>
        </is>
      </c>
      <c r="E28" s="654" t="inlineStr">
        <is>
          <t>0.24</t>
        </is>
      </c>
      <c r="F28" s="660" t="inlineStr">
        <is>
          <t>+1.0%</t>
        </is>
      </c>
    </row>
    <row r="29" ht="18" customHeight="1">
      <c r="B29" s="656" t="inlineStr">
        <is>
          <t>FY2023</t>
        </is>
      </c>
      <c r="C29" s="656" t="inlineStr">
        <is>
          <t>EBITDA Margin</t>
        </is>
      </c>
      <c r="D29" s="657" t="inlineStr">
        <is>
          <t>0.22</t>
        </is>
      </c>
      <c r="E29" s="657" t="inlineStr">
        <is>
          <t>0.23</t>
        </is>
      </c>
      <c r="F29" s="658" t="inlineStr">
        <is>
          <t>+0.5%</t>
        </is>
      </c>
    </row>
    <row r="31">
      <c r="B31" s="645" t="inlineStr">
        <is>
          <t>COMPENSATION ALIGNMENT</t>
        </is>
      </c>
    </row>
    <row r="32" ht="20" customHeight="1">
      <c r="B32" s="646" t="inlineStr">
        <is>
          <t>Insider Ownership</t>
        </is>
      </c>
      <c r="C32" s="647" t="inlineStr">
        <is>
          <t>2.0%</t>
        </is>
      </c>
      <c r="D32" s="648" t="inlineStr"/>
      <c r="E32" s="648" t="inlineStr"/>
      <c r="F32" s="648" t="inlineStr"/>
    </row>
    <row r="33" ht="20" customHeight="1">
      <c r="B33" s="649" t="inlineStr">
        <is>
          <t>CEO Pay vs Peers</t>
        </is>
      </c>
      <c r="C33" s="650" t="inlineStr">
        <is>
          <t>105%</t>
        </is>
      </c>
      <c r="D33" s="651" t="inlineStr"/>
      <c r="E33" s="651" t="inlineStr"/>
      <c r="F33" s="651" t="inlineStr"/>
    </row>
    <row r="34" ht="20" customHeight="1">
      <c r="B34" s="646" t="inlineStr">
        <is>
          <t>LTI Tied to Performance</t>
        </is>
      </c>
      <c r="C34" s="647" t="inlineStr">
        <is>
          <t>75%</t>
        </is>
      </c>
      <c r="D34" s="648" t="inlineStr"/>
      <c r="E34" s="648" t="inlineStr"/>
      <c r="F34" s="648" t="inlineStr"/>
    </row>
    <row r="35" ht="20" customHeight="1">
      <c r="B35" s="649" t="inlineStr">
        <is>
          <t>Clawback Policy</t>
        </is>
      </c>
      <c r="C35" s="650" t="inlineStr">
        <is>
          <t>Yes</t>
        </is>
      </c>
      <c r="D35" s="651" t="inlineStr"/>
      <c r="E35" s="651" t="inlineStr"/>
      <c r="F35" s="651" t="inlineStr"/>
    </row>
    <row r="36" ht="20" customHeight="1">
      <c r="B36" s="646" t="inlineStr">
        <is>
          <t>Say-on-Pay Vote</t>
        </is>
      </c>
      <c r="C36" s="647" t="inlineStr">
        <is>
          <t>91.0%</t>
        </is>
      </c>
      <c r="D36" s="648" t="inlineStr"/>
      <c r="E36" s="648" t="inlineStr"/>
      <c r="F36" s="648" t="inlineStr"/>
    </row>
  </sheetData>
  <mergeCells count="6">
    <mergeCell ref="B4:F4"/>
    <mergeCell ref="B12:F12"/>
    <mergeCell ref="B2:F2"/>
    <mergeCell ref="B31:F31"/>
    <mergeCell ref="B22:F22"/>
    <mergeCell ref="B1:F1"/>
  </mergeCells>
  <pageMargins left="0.75" right="0.75" top="1" bottom="1" header="0.5" footer="0.5"/>
</worksheet>
</file>

<file path=xl/worksheets/sheet71.xml><?xml version="1.0" encoding="utf-8"?>
<worksheet xmlns="http://schemas.openxmlformats.org/spreadsheetml/2006/main">
  <sheetPr>
    <tabColor rgb="000071E3"/>
    <outlinePr summaryBelow="1" summaryRight="1"/>
    <pageSetUpPr/>
  </sheetPr>
  <dimension ref="B1:F33"/>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 customWidth="1" min="1" max="1"/>
    <col width="24" customWidth="1" min="2" max="2"/>
    <col width="11" customWidth="1" min="3" max="3"/>
    <col width="11" customWidth="1" min="4" max="4"/>
    <col width="14" customWidth="1" min="5" max="5"/>
    <col width="24" customWidth="1" min="6" max="6"/>
    <col width="2" customWidth="1" min="7" max="7"/>
  </cols>
  <sheetData>
    <row r="1" ht="38" customHeight="1">
      <c r="B1" s="661" t="inlineStr">
        <is>
          <t>BEAR CASE DEEP DIVE</t>
        </is>
      </c>
    </row>
    <row r="2" ht="22" customHeight="1">
      <c r="B2" s="662" t="inlineStr">
        <is>
          <t>Bear Price Target: USD 51  |  Downside: -76.3%  |  Bear Probability: 30%</t>
        </is>
      </c>
    </row>
    <row r="4">
      <c r="B4" s="662" t="inlineStr">
        <is>
          <t>BEAR CASE DCF ASSUMPTIONS</t>
        </is>
      </c>
    </row>
    <row r="5" ht="20" customHeight="1">
      <c r="B5" s="646" t="inlineStr">
        <is>
          <t>Bear WACC</t>
        </is>
      </c>
      <c r="C5" s="663" t="inlineStr">
        <is>
          <t>9.7%  (base +150bps)</t>
        </is>
      </c>
    </row>
    <row r="6" ht="20" customHeight="1">
      <c r="B6" s="646" t="inlineStr">
        <is>
          <t>Bear EBITDA Margin</t>
        </is>
      </c>
      <c r="C6" s="663" t="inlineStr">
        <is>
          <t>29.5%</t>
        </is>
      </c>
    </row>
    <row r="7" ht="20" customHeight="1">
      <c r="B7" s="646" t="inlineStr">
        <is>
          <t>Revenue Growth (5yr)</t>
        </is>
      </c>
      <c r="C7" s="663" t="inlineStr">
        <is>
          <t>-6.0%, -4.0%, +1.0%, +3.0%, +3.0%</t>
        </is>
      </c>
    </row>
    <row r="8" ht="20" customHeight="1">
      <c r="B8" s="646" t="inlineStr">
        <is>
          <t>Bear EV</t>
        </is>
      </c>
      <c r="C8" s="663" t="inlineStr">
        <is>
          <t>USD 811,868,711,158mn</t>
        </is>
      </c>
    </row>
    <row r="10">
      <c r="B10" s="664" t="inlineStr">
        <is>
          <t>BEAR CASE CATALYSTS</t>
        </is>
      </c>
    </row>
    <row r="11" ht="18" customHeight="1">
      <c r="B11" s="665" t="inlineStr">
        <is>
          <t>Catalyst</t>
        </is>
      </c>
      <c r="C11" s="665" t="inlineStr">
        <is>
          <t>Probability</t>
        </is>
      </c>
      <c r="D11" s="665" t="inlineStr">
        <is>
          <t>Timeline</t>
        </is>
      </c>
      <c r="E11" s="665" t="inlineStr">
        <is>
          <t>EV Impact</t>
        </is>
      </c>
      <c r="F11" s="665" t="inlineStr">
        <is>
          <t>Leading Indicator</t>
        </is>
      </c>
    </row>
    <row r="12" ht="44" customHeight="1">
      <c r="B12" s="666" t="inlineStr">
        <is>
          <t>AI Competition Intensifies
Open-source and rival AI ecosystems erode Services margin; app-store revenues compress 15-20% over 18 months</t>
        </is>
      </c>
      <c r="C12" s="667" t="inlineStr">
        <is>
          <t>30%</t>
        </is>
      </c>
      <c r="D12" s="668" t="inlineStr">
        <is>
          <t>6-18 months</t>
        </is>
      </c>
      <c r="E12" s="655" t="inlineStr">
        <is>
          <t>USD 146,136,368,008mn</t>
        </is>
      </c>
      <c r="F12" s="669" t="inlineStr">
        <is>
          <t>App Store review data; developer fee trends; EU DMA enforcement</t>
        </is>
      </c>
    </row>
    <row r="13" ht="44" customHeight="1">
      <c r="B13" s="666" t="inlineStr">
        <is>
          <t>Hardware Revenue Deceleration
iPhone upgrade cycle extends to 4+ years; unit volumes decline 8-12% as premium market saturates globally</t>
        </is>
      </c>
      <c r="C13" s="670" t="inlineStr">
        <is>
          <t>25%</t>
        </is>
      </c>
      <c r="D13" s="668" t="inlineStr">
        <is>
          <t>0-12 months</t>
        </is>
      </c>
      <c r="E13" s="655" t="inlineStr">
        <is>
          <t>USD 121,780,306,674mn</t>
        </is>
      </c>
      <c r="F13" s="669" t="inlineStr">
        <is>
          <t>Channel inventory data; carrier subsidy programs; unit ASP trends</t>
        </is>
      </c>
    </row>
    <row r="14" ht="44" customHeight="1">
      <c r="B14" s="666" t="inlineStr">
        <is>
          <t>Regulatory / Antitrust Action
EU Digital Markets Act forces App Store opening; DOJ sideloading ruling cuts Services gross margin by 300-500bps</t>
        </is>
      </c>
      <c r="C14" s="670" t="inlineStr">
        <is>
          <t>20%</t>
        </is>
      </c>
      <c r="D14" s="668" t="inlineStr">
        <is>
          <t>3-18 months</t>
        </is>
      </c>
      <c r="E14" s="655" t="inlineStr">
        <is>
          <t>USD 97,424,245,339mn</t>
        </is>
      </c>
      <c r="F14" s="669" t="inlineStr">
        <is>
          <t>EU DMA enforcement milestones; DOJ lawsuit progress; court rulings</t>
        </is>
      </c>
    </row>
    <row r="15" ht="44" customHeight="1">
      <c r="B15" s="666" t="inlineStr">
        <is>
          <t>China Market Risk
Government procurement ban expands to consumers; Huawei regains premium smartphone share; 15-20% revenue at risk</t>
        </is>
      </c>
      <c r="C15" s="670" t="inlineStr">
        <is>
          <t>20%</t>
        </is>
      </c>
      <c r="D15" s="668" t="inlineStr">
        <is>
          <t>0-6 months</t>
        </is>
      </c>
      <c r="E15" s="655" t="inlineStr">
        <is>
          <t>USD 162,373,742,232mn</t>
        </is>
      </c>
      <c r="F15" s="669" t="inlineStr">
        <is>
          <t>China iPhone sell-through data; Huawei P-series sales; policy signals</t>
        </is>
      </c>
    </row>
    <row r="16" ht="44" customHeight="1">
      <c r="B16" s="666" t="inlineStr">
        <is>
          <t>Macro / FX Headwinds
USD strengthening and global consumer spending contraction; emerging-market growth reverses; EPS estimates cut 10-15%</t>
        </is>
      </c>
      <c r="C16" s="670" t="inlineStr">
        <is>
          <t>25%</t>
        </is>
      </c>
      <c r="D16" s="668" t="inlineStr">
        <is>
          <t>3-9 months</t>
        </is>
      </c>
      <c r="E16" s="655" t="inlineStr">
        <is>
          <t>USD 81,186,871,116mn</t>
        </is>
      </c>
      <c r="F16" s="669" t="inlineStr">
        <is>
          <t>DXY index; PMI readings; consumer confidence surveys</t>
        </is>
      </c>
    </row>
    <row r="18">
      <c r="B18" s="645" t="inlineStr">
        <is>
          <t>BASE → BEAR PRICE TARGET BRIDGE</t>
        </is>
      </c>
    </row>
    <row r="19" ht="18" customHeight="1">
      <c r="B19" s="665" t="inlineStr">
        <is>
          <t>Bridge Step</t>
        </is>
      </c>
      <c r="C19" s="665" t="inlineStr">
        <is>
          <t>Delta (USD)</t>
        </is>
      </c>
      <c r="D19" s="665" t="inlineStr">
        <is>
          <t>Cumulative PT</t>
        </is>
      </c>
      <c r="E19" s="665" t="inlineStr">
        <is>
          <t>% of Total</t>
        </is>
      </c>
    </row>
    <row r="20" ht="20" customHeight="1">
      <c r="B20" s="671" t="inlineStr">
        <is>
          <t>Base Case DCF PT</t>
        </is>
      </c>
      <c r="C20" s="672" t="inlineStr">
        <is>
          <t>—</t>
        </is>
      </c>
      <c r="D20" s="673" t="inlineStr">
        <is>
          <t>USD 213.0</t>
        </is>
      </c>
      <c r="E20" s="674" t="inlineStr">
        <is>
          <t>—</t>
        </is>
      </c>
    </row>
    <row r="21" ht="20" customHeight="1">
      <c r="B21" s="646" t="inlineStr">
        <is>
          <t>Lower revenue (vol+price)</t>
        </is>
      </c>
      <c r="C21" s="675" t="inlineStr">
        <is>
          <t>USD -56.9</t>
        </is>
      </c>
      <c r="D21" s="647" t="inlineStr">
        <is>
          <t>USD 156.1</t>
        </is>
      </c>
      <c r="E21" s="674" t="inlineStr">
        <is>
          <t>+35%</t>
        </is>
      </c>
    </row>
    <row r="22" ht="20" customHeight="1">
      <c r="B22" s="646" t="inlineStr">
        <is>
          <t>Margin compression</t>
        </is>
      </c>
      <c r="C22" s="675" t="inlineStr">
        <is>
          <t>USD -48.7</t>
        </is>
      </c>
      <c r="D22" s="647" t="inlineStr">
        <is>
          <t>USD 107.4</t>
        </is>
      </c>
      <c r="E22" s="674" t="inlineStr">
        <is>
          <t>+30%</t>
        </is>
      </c>
    </row>
    <row r="23" ht="20" customHeight="1">
      <c r="B23" s="646" t="inlineStr">
        <is>
          <t>Higher WACC (+150bps)</t>
        </is>
      </c>
      <c r="C23" s="675" t="inlineStr">
        <is>
          <t>USD -32.5</t>
        </is>
      </c>
      <c r="D23" s="647" t="inlineStr">
        <is>
          <t>USD 74.9</t>
        </is>
      </c>
      <c r="E23" s="674" t="inlineStr">
        <is>
          <t>+20%</t>
        </is>
      </c>
    </row>
    <row r="24" ht="20" customHeight="1">
      <c r="B24" s="646" t="inlineStr">
        <is>
          <t>Lower terminal growth</t>
        </is>
      </c>
      <c r="C24" s="675" t="inlineStr">
        <is>
          <t>USD -16.2</t>
        </is>
      </c>
      <c r="D24" s="647" t="inlineStr">
        <is>
          <t>USD 58.7</t>
        </is>
      </c>
      <c r="E24" s="674" t="inlineStr">
        <is>
          <t>+10%</t>
        </is>
      </c>
    </row>
    <row r="25" ht="20" customHeight="1">
      <c r="B25" s="671" t="inlineStr">
        <is>
          <t>Balance sheet adjustment</t>
        </is>
      </c>
      <c r="C25" s="663" t="inlineStr">
        <is>
          <t>—</t>
        </is>
      </c>
      <c r="D25" s="673" t="inlineStr">
        <is>
          <t>USD 50.5</t>
        </is>
      </c>
      <c r="E25" s="674" t="inlineStr">
        <is>
          <t>—</t>
        </is>
      </c>
    </row>
    <row r="28">
      <c r="B28" s="676" t="inlineStr">
        <is>
          <t>WHAT WOULD INVALIDATE THE BEAR CASE</t>
        </is>
      </c>
    </row>
    <row r="29" ht="22" customHeight="1">
      <c r="B29" s="674" t="inlineStr">
        <is>
          <t>1.</t>
        </is>
      </c>
      <c r="C29" s="677" t="inlineStr">
        <is>
          <t>Pre-sale volumes remain above 800 units/quarter for 3+ consecutive quarters</t>
        </is>
      </c>
    </row>
    <row r="30" ht="22" customHeight="1">
      <c r="B30" s="674" t="inlineStr">
        <is>
          <t>2.</t>
        </is>
      </c>
      <c r="C30" s="677" t="inlineStr">
        <is>
          <t>NBP signals rate cuts; mortgage rates fall below 6%</t>
        </is>
      </c>
    </row>
    <row r="31" ht="22" customHeight="1">
      <c r="B31" s="674" t="inlineStr">
        <is>
          <t>3.</t>
        </is>
      </c>
      <c r="C31" s="677" t="inlineStr">
        <is>
          <t>Management demonstrates ROIC &gt; 12% on new project launches</t>
        </is>
      </c>
    </row>
    <row r="32" ht="22" customHeight="1">
      <c r="B32" s="674" t="inlineStr">
        <is>
          <t>4.</t>
        </is>
      </c>
      <c r="C32" s="677" t="inlineStr">
        <is>
          <t>FCF yield &gt;6% triggers large buyback or special dividend</t>
        </is>
      </c>
    </row>
    <row r="33" ht="22" customHeight="1">
      <c r="B33" s="674" t="inlineStr">
        <is>
          <t>5.</t>
        </is>
      </c>
      <c r="C33" s="677" t="inlineStr">
        <is>
          <t>Strategic buyer emerges at NAV+ premium</t>
        </is>
      </c>
    </row>
  </sheetData>
  <mergeCells count="15">
    <mergeCell ref="B4:F4"/>
    <mergeCell ref="C31:F31"/>
    <mergeCell ref="B2:F2"/>
    <mergeCell ref="C8:F8"/>
    <mergeCell ref="B10:F10"/>
    <mergeCell ref="B28:F28"/>
    <mergeCell ref="C6:F6"/>
    <mergeCell ref="C7:F7"/>
    <mergeCell ref="C29:F29"/>
    <mergeCell ref="C30:F30"/>
    <mergeCell ref="C33:F33"/>
    <mergeCell ref="B1:F1"/>
    <mergeCell ref="C32:F32"/>
    <mergeCell ref="C5:F5"/>
    <mergeCell ref="B18:F18"/>
  </mergeCells>
  <pageMargins left="0.75" right="0.75" top="1" bottom="1" header="0.5" footer="0.5"/>
</worksheet>
</file>

<file path=xl/worksheets/sheet72.xml><?xml version="1.0" encoding="utf-8"?>
<worksheet xmlns="http://schemas.openxmlformats.org/spreadsheetml/2006/main">
  <sheetPr>
    <tabColor rgb="000071E3"/>
    <outlinePr summaryBelow="1" summaryRight="1"/>
    <pageSetUpPr/>
  </sheetPr>
  <dimension ref="B1:G32"/>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 customWidth="1" min="1" max="1"/>
    <col width="22" customWidth="1" min="2" max="2"/>
    <col width="18" customWidth="1" min="3" max="3"/>
    <col width="7" customWidth="1" min="4" max="4"/>
    <col width="10" customWidth="1" min="5" max="5"/>
    <col width="9" customWidth="1" min="6" max="6"/>
    <col width="9" customWidth="1" min="7" max="7"/>
    <col width="2" customWidth="1" min="8" max="8"/>
  </cols>
  <sheetData>
    <row r="1" ht="38" customHeight="1">
      <c r="B1" s="632" t="inlineStr">
        <is>
          <t>COMPARABLE TRANSACTIONS ANALYSIS</t>
        </is>
      </c>
    </row>
    <row r="2" ht="22" customHeight="1">
      <c r="B2" s="678" t="inlineStr">
        <is>
          <t>European RE Developer M&amp;A  |  Current EV/EBITDA: 23.9x  |  Discount to Tx Median: -61.4%  |  Takeout Probability: 15%</t>
        </is>
      </c>
    </row>
    <row r="4">
      <c r="B4" s="61" t="inlineStr">
        <is>
          <t>PRECEDENT TRANSACTIONS (2019-2024)</t>
        </is>
      </c>
    </row>
    <row r="5" ht="20" customHeight="1">
      <c r="B5" s="652" t="inlineStr">
        <is>
          <t>Target</t>
        </is>
      </c>
      <c r="C5" s="652" t="inlineStr">
        <is>
          <t>Acquirer</t>
        </is>
      </c>
      <c r="D5" s="652" t="inlineStr">
        <is>
          <t>Year</t>
        </is>
      </c>
      <c r="E5" s="652" t="inlineStr">
        <is>
          <t>EV/EBITDA</t>
        </is>
      </c>
      <c r="F5" s="652" t="inlineStr">
        <is>
          <t>P/BV</t>
        </is>
      </c>
      <c r="G5" s="652" t="inlineStr">
        <is>
          <t>Prem %</t>
        </is>
      </c>
    </row>
    <row r="6" ht="20" customHeight="1">
      <c r="B6" s="653" t="inlineStr">
        <is>
          <t>Arco Vara (EE)</t>
        </is>
      </c>
      <c r="C6" s="653" t="inlineStr">
        <is>
          <t>Private Equity</t>
        </is>
      </c>
      <c r="D6" s="668" t="inlineStr">
        <is>
          <t>2023</t>
        </is>
      </c>
      <c r="E6" s="679" t="inlineStr">
        <is>
          <t>9.2x</t>
        </is>
      </c>
      <c r="F6" s="668" t="inlineStr">
        <is>
          <t>1.45x</t>
        </is>
      </c>
      <c r="G6" s="668" t="inlineStr">
        <is>
          <t>28%</t>
        </is>
      </c>
    </row>
    <row r="7" ht="20" customHeight="1">
      <c r="B7" s="656" t="inlineStr">
        <is>
          <t>Robyg (PL)</t>
        </is>
      </c>
      <c r="C7" s="656" t="inlineStr">
        <is>
          <t>TAG Immobilien</t>
        </is>
      </c>
      <c r="D7" s="680" t="inlineStr">
        <is>
          <t>2022</t>
        </is>
      </c>
      <c r="E7" s="681" t="inlineStr">
        <is>
          <t>10.1x</t>
        </is>
      </c>
      <c r="F7" s="680" t="inlineStr">
        <is>
          <t>1.62x</t>
        </is>
      </c>
      <c r="G7" s="680" t="inlineStr">
        <is>
          <t>35%</t>
        </is>
      </c>
    </row>
    <row r="8" ht="20" customHeight="1">
      <c r="B8" s="653" t="inlineStr">
        <is>
          <t>Lokum Deweloper (PL)</t>
        </is>
      </c>
      <c r="C8" s="653" t="inlineStr">
        <is>
          <t>Cavatina</t>
        </is>
      </c>
      <c r="D8" s="668" t="inlineStr">
        <is>
          <t>2022</t>
        </is>
      </c>
      <c r="E8" s="679" t="inlineStr">
        <is>
          <t>8.7x</t>
        </is>
      </c>
      <c r="F8" s="668" t="inlineStr">
        <is>
          <t>1.38x</t>
        </is>
      </c>
      <c r="G8" s="668" t="inlineStr">
        <is>
          <t>22%</t>
        </is>
      </c>
    </row>
    <row r="9" ht="20" customHeight="1">
      <c r="B9" s="656" t="inlineStr">
        <is>
          <t>Develia (PL)</t>
        </is>
      </c>
      <c r="C9" s="656" t="inlineStr">
        <is>
          <t>Cornerstone</t>
        </is>
      </c>
      <c r="D9" s="680" t="inlineStr">
        <is>
          <t>2023</t>
        </is>
      </c>
      <c r="E9" s="681" t="inlineStr">
        <is>
          <t>9.8x</t>
        </is>
      </c>
      <c r="F9" s="680" t="inlineStr">
        <is>
          <t>1.55x</t>
        </is>
      </c>
      <c r="G9" s="680" t="inlineStr">
        <is>
          <t>31%</t>
        </is>
      </c>
    </row>
    <row r="10" ht="20" customHeight="1">
      <c r="B10" s="653" t="inlineStr">
        <is>
          <t>Archicom (PL)</t>
        </is>
      </c>
      <c r="C10" s="653" t="inlineStr">
        <is>
          <t>Echo Investment</t>
        </is>
      </c>
      <c r="D10" s="668" t="inlineStr">
        <is>
          <t>2021</t>
        </is>
      </c>
      <c r="E10" s="679" t="inlineStr">
        <is>
          <t>11.2x</t>
        </is>
      </c>
      <c r="F10" s="668" t="inlineStr">
        <is>
          <t>1.78x</t>
        </is>
      </c>
      <c r="G10" s="668" t="inlineStr">
        <is>
          <t>42%</t>
        </is>
      </c>
    </row>
    <row r="11" ht="20" customHeight="1">
      <c r="B11" s="656" t="inlineStr">
        <is>
          <t>Victoria Dom (PL)</t>
        </is>
      </c>
      <c r="C11" s="656" t="inlineStr">
        <is>
          <t>Strategic bidder</t>
        </is>
      </c>
      <c r="D11" s="680" t="inlineStr">
        <is>
          <t>2024</t>
        </is>
      </c>
      <c r="E11" s="681" t="inlineStr">
        <is>
          <t>8.4x</t>
        </is>
      </c>
      <c r="F11" s="680" t="inlineStr">
        <is>
          <t>1.30x</t>
        </is>
      </c>
      <c r="G11" s="680" t="inlineStr">
        <is>
          <t>19%</t>
        </is>
      </c>
    </row>
    <row r="12" ht="20" customHeight="1">
      <c r="B12" s="653" t="inlineStr">
        <is>
          <t>INPRO (PL)</t>
        </is>
      </c>
      <c r="C12" s="653" t="inlineStr">
        <is>
          <t>Family buyout</t>
        </is>
      </c>
      <c r="D12" s="668" t="inlineStr">
        <is>
          <t>2023</t>
        </is>
      </c>
      <c r="E12" s="679" t="inlineStr">
        <is>
          <t>7.9x</t>
        </is>
      </c>
      <c r="F12" s="668" t="inlineStr">
        <is>
          <t>1.22x</t>
        </is>
      </c>
      <c r="G12" s="668" t="inlineStr">
        <is>
          <t>18%</t>
        </is>
      </c>
    </row>
    <row r="14">
      <c r="B14" s="645" t="inlineStr">
        <is>
          <t>TRANSACTION MULTIPLE SUMMARY</t>
        </is>
      </c>
    </row>
    <row r="15" ht="20" customHeight="1">
      <c r="B15" s="646" t="inlineStr">
        <is>
          <t>EV/EBITDA Median</t>
        </is>
      </c>
      <c r="C15" s="682" t="inlineStr">
        <is>
          <t>9.2x</t>
        </is>
      </c>
      <c r="D15" s="648" t="inlineStr"/>
      <c r="E15" s="648" t="inlineStr"/>
      <c r="F15" s="648" t="inlineStr"/>
      <c r="G15" s="648" t="inlineStr"/>
    </row>
    <row r="16" ht="20" customHeight="1">
      <c r="B16" s="649" t="inlineStr">
        <is>
          <t>EV/EBITDA Mean</t>
        </is>
      </c>
      <c r="C16" s="683" t="inlineStr">
        <is>
          <t>9.3x</t>
        </is>
      </c>
      <c r="D16" s="651" t="inlineStr"/>
      <c r="E16" s="651" t="inlineStr"/>
      <c r="F16" s="651" t="inlineStr"/>
      <c r="G16" s="651" t="inlineStr"/>
    </row>
    <row r="17" ht="20" customHeight="1">
      <c r="B17" s="646" t="inlineStr">
        <is>
          <t>EV/EBITDA Range</t>
        </is>
      </c>
      <c r="C17" s="682" t="inlineStr">
        <is>
          <t>7.9x – 11.2x</t>
        </is>
      </c>
      <c r="D17" s="648" t="inlineStr"/>
      <c r="E17" s="648" t="inlineStr"/>
      <c r="F17" s="648" t="inlineStr"/>
      <c r="G17" s="648" t="inlineStr"/>
    </row>
    <row r="18" ht="20" customHeight="1">
      <c r="B18" s="649" t="inlineStr">
        <is>
          <t>P/BV Median</t>
        </is>
      </c>
      <c r="C18" s="683" t="inlineStr">
        <is>
          <t>1.45x</t>
        </is>
      </c>
      <c r="D18" s="651" t="inlineStr"/>
      <c r="E18" s="651" t="inlineStr"/>
      <c r="F18" s="651" t="inlineStr"/>
      <c r="G18" s="651" t="inlineStr"/>
    </row>
    <row r="19" ht="20" customHeight="1">
      <c r="B19" s="646" t="inlineStr">
        <is>
          <t>Control Premium Median</t>
        </is>
      </c>
      <c r="C19" s="682" t="inlineStr">
        <is>
          <t>28.0%</t>
        </is>
      </c>
      <c r="D19" s="648" t="inlineStr"/>
      <c r="E19" s="648" t="inlineStr"/>
      <c r="F19" s="648" t="inlineStr"/>
      <c r="G19" s="648" t="inlineStr"/>
    </row>
    <row r="20" ht="20" customHeight="1">
      <c r="B20" s="649" t="inlineStr">
        <is>
          <t>Control Premium Range</t>
        </is>
      </c>
      <c r="C20" s="683" t="inlineStr">
        <is>
          <t>18.0% – 42.0%</t>
        </is>
      </c>
      <c r="D20" s="651" t="inlineStr"/>
      <c r="E20" s="651" t="inlineStr"/>
      <c r="F20" s="651" t="inlineStr"/>
      <c r="G20" s="651" t="inlineStr"/>
    </row>
    <row r="21" ht="20" customHeight="1">
      <c r="B21" s="646" t="inlineStr">
        <is>
          <t>Current EV/EBITDA</t>
        </is>
      </c>
      <c r="C21" s="682" t="inlineStr">
        <is>
          <t>23.9x</t>
        </is>
      </c>
      <c r="D21" s="648" t="inlineStr"/>
      <c r="E21" s="648" t="inlineStr"/>
      <c r="F21" s="648" t="inlineStr"/>
      <c r="G21" s="648" t="inlineStr"/>
    </row>
    <row r="22" ht="20" customHeight="1">
      <c r="B22" s="649" t="inlineStr">
        <is>
          <t>Discount to Tx</t>
        </is>
      </c>
      <c r="C22" s="684" t="inlineStr">
        <is>
          <t>-61.4%</t>
        </is>
      </c>
      <c r="D22" s="651" t="inlineStr"/>
      <c r="E22" s="651" t="inlineStr"/>
      <c r="F22" s="651" t="inlineStr"/>
      <c r="G22" s="651" t="inlineStr"/>
    </row>
    <row r="25">
      <c r="B25" s="61" t="inlineStr">
        <is>
          <t>IMPLIED OFFER PRICE SCENARIOS</t>
        </is>
      </c>
    </row>
    <row r="26" ht="18" customHeight="1">
      <c r="B26" s="652" t="inlineStr">
        <is>
          <t>Scenario</t>
        </is>
      </c>
      <c r="C26" s="652" t="inlineStr">
        <is>
          <t>EV/EBITDA</t>
        </is>
      </c>
      <c r="D26" s="652" t="inlineStr">
        <is>
          <t>Implied PT</t>
        </is>
      </c>
      <c r="E26" s="652" t="inlineStr">
        <is>
          <t>Premium to Spot</t>
        </is>
      </c>
      <c r="F26" s="652" t="inlineStr"/>
      <c r="G26" s="652" t="inlineStr"/>
    </row>
    <row r="27" ht="22" customHeight="1">
      <c r="B27" s="653" t="inlineStr">
        <is>
          <t>Floor (25th pct tx mult)</t>
        </is>
      </c>
      <c r="C27" s="668" t="inlineStr">
        <is>
          <t>8.4x</t>
        </is>
      </c>
      <c r="D27" s="670" t="inlineStr">
        <is>
          <t>PLN 72</t>
        </is>
      </c>
      <c r="E27" s="685" t="inlineStr">
        <is>
          <t>-66.1% vs current</t>
        </is>
      </c>
    </row>
    <row r="28" ht="22" customHeight="1">
      <c r="B28" s="656" t="inlineStr">
        <is>
          <t>Median transaction mult</t>
        </is>
      </c>
      <c r="C28" s="680" t="inlineStr">
        <is>
          <t>9.2x</t>
        </is>
      </c>
      <c r="D28" s="686" t="inlineStr">
        <is>
          <t>PLN 79</t>
        </is>
      </c>
      <c r="E28" s="687" t="inlineStr">
        <is>
          <t>-62.7% vs current</t>
        </is>
      </c>
    </row>
    <row r="29" ht="22" customHeight="1">
      <c r="B29" s="653" t="inlineStr">
        <is>
          <t>Mean transaction mult</t>
        </is>
      </c>
      <c r="C29" s="668" t="inlineStr">
        <is>
          <t>9.3x</t>
        </is>
      </c>
      <c r="D29" s="670" t="inlineStr">
        <is>
          <t>PLN 81</t>
        </is>
      </c>
      <c r="E29" s="685" t="inlineStr">
        <is>
          <t>-62.2% vs current</t>
        </is>
      </c>
    </row>
    <row r="30" ht="22" customHeight="1">
      <c r="B30" s="656" t="inlineStr">
        <is>
          <t>Strategic premium (+30%)</t>
        </is>
      </c>
      <c r="C30" s="680" t="inlineStr">
        <is>
          <t>—</t>
        </is>
      </c>
      <c r="D30" s="686" t="inlineStr">
        <is>
          <t>PLN 277</t>
        </is>
      </c>
      <c r="E30" s="688" t="inlineStr">
        <is>
          <t>+30.0% vs current</t>
        </is>
      </c>
    </row>
    <row r="31" ht="22" customHeight="1">
      <c r="B31" s="653" t="inlineStr">
        <is>
          <t>Control premium (+40%)</t>
        </is>
      </c>
      <c r="C31" s="668" t="inlineStr">
        <is>
          <t>—</t>
        </is>
      </c>
      <c r="D31" s="670" t="inlineStr">
        <is>
          <t>PLN 298</t>
        </is>
      </c>
      <c r="E31" s="689" t="inlineStr">
        <is>
          <t>+40.0% vs current</t>
        </is>
      </c>
    </row>
    <row r="32" ht="22" customHeight="1">
      <c r="B32" s="656" t="inlineStr">
        <is>
          <t>Median precedent prem</t>
        </is>
      </c>
      <c r="C32" s="680" t="inlineStr">
        <is>
          <t>—</t>
        </is>
      </c>
      <c r="D32" s="686" t="inlineStr">
        <is>
          <t>PLN 273</t>
        </is>
      </c>
      <c r="E32" s="688" t="inlineStr">
        <is>
          <t>+28.0% vs current</t>
        </is>
      </c>
    </row>
  </sheetData>
  <mergeCells count="11">
    <mergeCell ref="B2:G2"/>
    <mergeCell ref="E32:G32"/>
    <mergeCell ref="E28:G28"/>
    <mergeCell ref="B14:G14"/>
    <mergeCell ref="E27:G27"/>
    <mergeCell ref="E31:G31"/>
    <mergeCell ref="B1:G1"/>
    <mergeCell ref="B4:G4"/>
    <mergeCell ref="E30:G30"/>
    <mergeCell ref="E29:G29"/>
    <mergeCell ref="B25:G25"/>
  </mergeCells>
  <pageMargins left="0.75" right="0.75" top="1" bottom="1" header="0.5" footer="0.5"/>
</worksheet>
</file>

<file path=xl/worksheets/sheet73.xml><?xml version="1.0" encoding="utf-8"?>
<worksheet xmlns="http://schemas.openxmlformats.org/spreadsheetml/2006/main">
  <sheetPr>
    <tabColor rgb="000071E3"/>
    <outlinePr summaryBelow="1" summaryRight="1"/>
    <pageSetUpPr/>
  </sheetPr>
  <dimension ref="B1:F33"/>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 customWidth="1" min="1" max="1"/>
    <col width="26" customWidth="1" min="2" max="2"/>
    <col width="14" customWidth="1" min="3" max="3"/>
    <col width="14" customWidth="1" min="4" max="4"/>
    <col width="14" customWidth="1" min="5" max="5"/>
    <col width="16" customWidth="1" min="6" max="6"/>
    <col width="2" customWidth="1" min="7" max="7"/>
  </cols>
  <sheetData>
    <row r="1" ht="38" customHeight="1">
      <c r="B1" s="632" t="inlineStr">
        <is>
          <t>EARNINGS QUALITY &amp; FORENSIC ANALYSIS</t>
        </is>
      </c>
    </row>
    <row r="2" ht="22" customHeight="1">
      <c r="B2" s="662" t="inlineStr">
        <is>
          <t>Quality Grade: WATCH  |  Flag Score: 4  |  Peer Avg: 2.1</t>
        </is>
      </c>
    </row>
    <row r="4">
      <c r="B4" s="61" t="inlineStr">
        <is>
          <t>ACCRUALS ANALYSIS</t>
        </is>
      </c>
    </row>
    <row r="5" ht="20" customHeight="1">
      <c r="B5" s="646" t="inlineStr">
        <is>
          <t>Balance Sheet Accruals Ratio</t>
        </is>
      </c>
      <c r="C5" s="663" t="inlineStr">
        <is>
          <t>+5.61%</t>
        </is>
      </c>
      <c r="D5" s="690" t="inlineStr">
        <is>
          <t>&lt;5% = clean</t>
        </is>
      </c>
      <c r="E5" s="648" t="inlineStr"/>
      <c r="F5" s="648" t="inlineStr"/>
    </row>
    <row r="6" ht="20" customHeight="1">
      <c r="B6" s="646" t="inlineStr">
        <is>
          <t>Cash Flow Accruals Ratio</t>
        </is>
      </c>
      <c r="C6" s="673" t="inlineStr">
        <is>
          <t>+4.80%</t>
        </is>
      </c>
      <c r="D6" s="690" t="inlineStr">
        <is>
          <t>&lt;5% = clean</t>
        </is>
      </c>
      <c r="E6" s="648" t="inlineStr"/>
      <c r="F6" s="648" t="inlineStr"/>
    </row>
    <row r="7" ht="20" customHeight="1">
      <c r="B7" s="646" t="inlineStr">
        <is>
          <t>Sloan Ratio</t>
        </is>
      </c>
      <c r="C7" s="663" t="inlineStr">
        <is>
          <t>+5.16%</t>
        </is>
      </c>
      <c r="D7" s="690" t="inlineStr">
        <is>
          <t>&lt;5% = clean</t>
        </is>
      </c>
      <c r="E7" s="648" t="inlineStr"/>
      <c r="F7" s="648" t="inlineStr"/>
    </row>
    <row r="8" ht="20" customHeight="1">
      <c r="B8" s="646" t="inlineStr">
        <is>
          <t>Overall Interpretation</t>
        </is>
      </c>
      <c r="C8" s="673" t="inlineStr">
        <is>
          <t>ELEVATED</t>
        </is>
      </c>
      <c r="D8" s="690" t="inlineStr"/>
      <c r="E8" s="648" t="inlineStr"/>
      <c r="F8" s="648" t="inlineStr"/>
    </row>
    <row r="10">
      <c r="B10" s="61" t="inlineStr">
        <is>
          <t>CASH CONVERSION QUALITY</t>
        </is>
      </c>
    </row>
    <row r="11" ht="20" customHeight="1">
      <c r="B11" s="646" t="inlineStr">
        <is>
          <t>CFO/Net Income</t>
        </is>
      </c>
      <c r="C11" s="673" t="inlineStr">
        <is>
          <t>0.90x</t>
        </is>
      </c>
      <c r="D11" s="691" t="inlineStr">
        <is>
          <t>ADEQUATE</t>
        </is>
      </c>
      <c r="E11" s="648" t="inlineStr"/>
      <c r="F11" s="648" t="inlineStr"/>
    </row>
    <row r="12" ht="20" customHeight="1">
      <c r="B12" s="646" t="inlineStr">
        <is>
          <t>FCF/Net Income</t>
        </is>
      </c>
      <c r="C12" s="673" t="inlineStr">
        <is>
          <t>0.80x</t>
        </is>
      </c>
      <c r="D12" s="691" t="inlineStr"/>
      <c r="E12" s="648" t="inlineStr"/>
      <c r="F12" s="648" t="inlineStr"/>
    </row>
    <row r="13" ht="20" customHeight="1">
      <c r="B13" s="646" t="inlineStr">
        <is>
          <t>DSO Current (days)</t>
        </is>
      </c>
      <c r="C13" s="673" t="inlineStr">
        <is>
          <t>43.8</t>
        </is>
      </c>
      <c r="D13" s="691" t="inlineStr"/>
      <c r="E13" s="648" t="inlineStr"/>
      <c r="F13" s="648" t="inlineStr"/>
    </row>
    <row r="14" ht="20" customHeight="1">
      <c r="B14" s="646" t="inlineStr">
        <is>
          <t>DSO Prior (days)</t>
        </is>
      </c>
      <c r="C14" s="673" t="inlineStr">
        <is>
          <t>39.4</t>
        </is>
      </c>
      <c r="D14" s="691" t="inlineStr"/>
      <c r="E14" s="648" t="inlineStr"/>
      <c r="F14" s="648" t="inlineStr"/>
    </row>
    <row r="15" ht="20" customHeight="1">
      <c r="B15" s="646" t="inlineStr">
        <is>
          <t>DSO Delta</t>
        </is>
      </c>
      <c r="C15" s="663" t="inlineStr">
        <is>
          <t>+4.4 days</t>
        </is>
      </c>
      <c r="D15" s="692" t="inlineStr">
        <is>
          <t>WORSENING</t>
        </is>
      </c>
      <c r="E15" s="648" t="inlineStr"/>
      <c r="F15" s="648" t="inlineStr"/>
    </row>
    <row r="18">
      <c r="B18" s="693" t="inlineStr">
        <is>
          <t>BENFORD'S LAW ANALYSIS — LOW CONCERN (Chi²=0.5)</t>
        </is>
      </c>
    </row>
    <row r="19" ht="18" customHeight="1">
      <c r="B19" s="652" t="inlineStr">
        <is>
          <t>Digit</t>
        </is>
      </c>
      <c r="C19" s="652" t="inlineStr">
        <is>
          <t>Expected %</t>
        </is>
      </c>
      <c r="D19" s="652" t="inlineStr">
        <is>
          <t>Actual %</t>
        </is>
      </c>
      <c r="E19" s="652" t="inlineStr">
        <is>
          <t>Delta pp</t>
        </is>
      </c>
      <c r="F19" s="652" t="inlineStr">
        <is>
          <t>Interpretation</t>
        </is>
      </c>
    </row>
    <row r="20" ht="18" customHeight="1">
      <c r="B20" s="674" t="inlineStr">
        <is>
          <t>1</t>
        </is>
      </c>
      <c r="C20" s="654" t="inlineStr">
        <is>
          <t>30.1%</t>
        </is>
      </c>
      <c r="D20" s="654" t="inlineStr">
        <is>
          <t>28.5%</t>
        </is>
      </c>
      <c r="E20" s="694" t="inlineStr">
        <is>
          <t>-1.6pp</t>
        </is>
      </c>
      <c r="F20" s="695" t="inlineStr">
        <is>
          <t>Watch</t>
        </is>
      </c>
    </row>
    <row r="21" ht="18" customHeight="1">
      <c r="B21" s="674" t="inlineStr">
        <is>
          <t>2</t>
        </is>
      </c>
      <c r="C21" s="654" t="inlineStr">
        <is>
          <t>17.6%</t>
        </is>
      </c>
      <c r="D21" s="654" t="inlineStr">
        <is>
          <t>19.2%</t>
        </is>
      </c>
      <c r="E21" s="694" t="inlineStr">
        <is>
          <t>+1.6pp</t>
        </is>
      </c>
      <c r="F21" s="695" t="inlineStr">
        <is>
          <t>Watch</t>
        </is>
      </c>
    </row>
    <row r="22" ht="18" customHeight="1">
      <c r="B22" s="674" t="inlineStr">
        <is>
          <t>3</t>
        </is>
      </c>
      <c r="C22" s="654" t="inlineStr">
        <is>
          <t>12.5%</t>
        </is>
      </c>
      <c r="D22" s="654" t="inlineStr">
        <is>
          <t>11.8%</t>
        </is>
      </c>
      <c r="E22" s="696" t="inlineStr">
        <is>
          <t>-0.7pp</t>
        </is>
      </c>
      <c r="F22" s="697" t="inlineStr">
        <is>
          <t>OK</t>
        </is>
      </c>
    </row>
    <row r="23" ht="18" customHeight="1">
      <c r="B23" s="674" t="inlineStr">
        <is>
          <t>4</t>
        </is>
      </c>
      <c r="C23" s="654" t="inlineStr">
        <is>
          <t>9.7%</t>
        </is>
      </c>
      <c r="D23" s="654" t="inlineStr">
        <is>
          <t>10.1%</t>
        </is>
      </c>
      <c r="E23" s="696" t="inlineStr">
        <is>
          <t>+0.4pp</t>
        </is>
      </c>
      <c r="F23" s="697" t="inlineStr">
        <is>
          <t>OK</t>
        </is>
      </c>
    </row>
    <row r="24" ht="18" customHeight="1">
      <c r="B24" s="674" t="inlineStr">
        <is>
          <t>5</t>
        </is>
      </c>
      <c r="C24" s="654" t="inlineStr">
        <is>
          <t>7.9%</t>
        </is>
      </c>
      <c r="D24" s="654" t="inlineStr">
        <is>
          <t>8.3%</t>
        </is>
      </c>
      <c r="E24" s="696" t="inlineStr">
        <is>
          <t>+0.4pp</t>
        </is>
      </c>
      <c r="F24" s="697" t="inlineStr">
        <is>
          <t>OK</t>
        </is>
      </c>
    </row>
    <row r="25" ht="18" customHeight="1">
      <c r="B25" s="674" t="inlineStr">
        <is>
          <t>6</t>
        </is>
      </c>
      <c r="C25" s="654" t="inlineStr">
        <is>
          <t>6.7%</t>
        </is>
      </c>
      <c r="D25" s="654" t="inlineStr">
        <is>
          <t>6.9%</t>
        </is>
      </c>
      <c r="E25" s="696" t="inlineStr">
        <is>
          <t>+0.2pp</t>
        </is>
      </c>
      <c r="F25" s="697" t="inlineStr">
        <is>
          <t>OK</t>
        </is>
      </c>
    </row>
    <row r="26" ht="18" customHeight="1">
      <c r="B26" s="674" t="inlineStr">
        <is>
          <t>7</t>
        </is>
      </c>
      <c r="C26" s="654" t="inlineStr">
        <is>
          <t>5.8%</t>
        </is>
      </c>
      <c r="D26" s="654" t="inlineStr">
        <is>
          <t>5.5%</t>
        </is>
      </c>
      <c r="E26" s="696" t="inlineStr">
        <is>
          <t>-0.3pp</t>
        </is>
      </c>
      <c r="F26" s="697" t="inlineStr">
        <is>
          <t>OK</t>
        </is>
      </c>
    </row>
    <row r="27" ht="18" customHeight="1">
      <c r="B27" s="674" t="inlineStr">
        <is>
          <t>8</t>
        </is>
      </c>
      <c r="C27" s="654" t="inlineStr">
        <is>
          <t>5.1%</t>
        </is>
      </c>
      <c r="D27" s="654" t="inlineStr">
        <is>
          <t>5.7%</t>
        </is>
      </c>
      <c r="E27" s="696" t="inlineStr">
        <is>
          <t>+0.6pp</t>
        </is>
      </c>
      <c r="F27" s="697" t="inlineStr">
        <is>
          <t>OK</t>
        </is>
      </c>
    </row>
    <row r="28" ht="18" customHeight="1">
      <c r="B28" s="674" t="inlineStr">
        <is>
          <t>9</t>
        </is>
      </c>
      <c r="C28" s="654" t="inlineStr">
        <is>
          <t>4.6%</t>
        </is>
      </c>
      <c r="D28" s="654" t="inlineStr">
        <is>
          <t>4.0%</t>
        </is>
      </c>
      <c r="E28" s="696" t="inlineStr">
        <is>
          <t>-0.6pp</t>
        </is>
      </c>
      <c r="F28" s="697" t="inlineStr">
        <is>
          <t>OK</t>
        </is>
      </c>
    </row>
    <row r="30">
      <c r="B30" s="662" t="inlineStr">
        <is>
          <t>RED FLAGS DETECTED (2 total)</t>
        </is>
      </c>
    </row>
    <row r="31" ht="18" customHeight="1">
      <c r="B31" s="652" t="inlineStr">
        <is>
          <t>Flag</t>
        </is>
      </c>
      <c r="C31" s="652" t="inlineStr">
        <is>
          <t>Value</t>
        </is>
      </c>
      <c r="D31" s="652" t="inlineStr">
        <is>
          <t>Threshold</t>
        </is>
      </c>
      <c r="E31" s="652" t="inlineStr">
        <is>
          <t>Severity</t>
        </is>
      </c>
      <c r="F31" s="652" t="inlineStr"/>
    </row>
    <row r="32" ht="20" customHeight="1">
      <c r="B32" s="653" t="inlineStr">
        <is>
          <t>Elevated BS accruals ratio</t>
        </is>
      </c>
      <c r="C32" s="654" t="inlineStr">
        <is>
          <t>5.6%</t>
        </is>
      </c>
      <c r="D32" s="654" t="inlineStr">
        <is>
          <t>&gt;5%</t>
        </is>
      </c>
      <c r="E32" s="698" t="inlineStr">
        <is>
          <t>MEDIUM</t>
        </is>
      </c>
      <c r="F32" s="636" t="inlineStr"/>
    </row>
    <row r="33" ht="20" customHeight="1">
      <c r="B33" s="653" t="inlineStr">
        <is>
          <t>High Sloan accruals ratio</t>
        </is>
      </c>
      <c r="C33" s="654" t="inlineStr">
        <is>
          <t>5.2%</t>
        </is>
      </c>
      <c r="D33" s="654" t="inlineStr">
        <is>
          <t>&gt;5%</t>
        </is>
      </c>
      <c r="E33" s="699" t="inlineStr">
        <is>
          <t>HIGH</t>
        </is>
      </c>
      <c r="F33" s="636" t="inlineStr"/>
    </row>
  </sheetData>
  <mergeCells count="6">
    <mergeCell ref="B4:F4"/>
    <mergeCell ref="B30:F30"/>
    <mergeCell ref="B2:F2"/>
    <mergeCell ref="B10:F10"/>
    <mergeCell ref="B1:F1"/>
    <mergeCell ref="B18:F18"/>
  </mergeCells>
  <pageMargins left="0.75" right="0.75" top="1" bottom="1" header="0.5" footer="0.5"/>
</worksheet>
</file>

<file path=xl/worksheets/sheet74.xml><?xml version="1.0" encoding="utf-8"?>
<worksheet xmlns="http://schemas.openxmlformats.org/spreadsheetml/2006/main">
  <sheetPr>
    <tabColor rgb="000071E3"/>
    <outlinePr summaryBelow="1" summaryRight="1"/>
    <pageSetUpPr/>
  </sheetPr>
  <dimension ref="B1:F28"/>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 customWidth="1" min="1" max="1"/>
    <col width="24" customWidth="1" min="2" max="2"/>
    <col width="13" customWidth="1" min="3" max="3"/>
    <col width="13" customWidth="1" min="4" max="4"/>
    <col width="13" customWidth="1" min="5" max="5"/>
    <col width="18" customWidth="1" min="6" max="6"/>
    <col width="2" customWidth="1" min="7" max="7"/>
  </cols>
  <sheetData>
    <row r="1" ht="38" customHeight="1">
      <c r="B1" s="632" t="inlineStr">
        <is>
          <t>ESG INTEGRATION — WACC ADJUSTMENT</t>
        </is>
      </c>
    </row>
    <row r="2" ht="22" customHeight="1">
      <c r="B2" s="700" t="inlineStr">
        <is>
          <t>ESG Score: 70.5/100  |  Sector Avg: 62.0  |  vs Sector: +8.5  |  SFDR: Article 8</t>
        </is>
      </c>
    </row>
    <row r="4">
      <c r="B4" s="61" t="inlineStr">
        <is>
          <t>ESG PILLAR SCORES</t>
        </is>
      </c>
    </row>
    <row r="5" ht="26" customHeight="1">
      <c r="B5" s="701" t="inlineStr">
        <is>
          <t>Environmental (40%)</t>
        </is>
      </c>
      <c r="C5" s="702" t="inlineStr">
        <is>
          <t>66.7/100</t>
        </is>
      </c>
      <c r="D5" s="703" t="inlineStr">
        <is>
          <t>vs sector: 62.0</t>
        </is>
      </c>
      <c r="E5" s="704" t="inlineStr">
        <is>
          <t>██████░░░░</t>
        </is>
      </c>
      <c r="F5" s="701" t="inlineStr"/>
    </row>
    <row r="6" ht="26" customHeight="1">
      <c r="B6" s="701" t="inlineStr">
        <is>
          <t>Social (30%)</t>
        </is>
      </c>
      <c r="C6" s="702" t="inlineStr">
        <is>
          <t>69.8/100</t>
        </is>
      </c>
      <c r="D6" s="703" t="inlineStr">
        <is>
          <t>vs sector: 62.0</t>
        </is>
      </c>
      <c r="E6" s="704" t="inlineStr">
        <is>
          <t>██████░░░░</t>
        </is>
      </c>
      <c r="F6" s="701" t="inlineStr"/>
    </row>
    <row r="7" ht="26" customHeight="1">
      <c r="B7" s="701" t="inlineStr">
        <is>
          <t>Governance (30%)</t>
        </is>
      </c>
      <c r="C7" s="705" t="inlineStr">
        <is>
          <t>76.3/100</t>
        </is>
      </c>
      <c r="D7" s="703" t="inlineStr">
        <is>
          <t>vs sector: 62.0</t>
        </is>
      </c>
      <c r="E7" s="706" t="inlineStr">
        <is>
          <t>███████░░░</t>
        </is>
      </c>
      <c r="F7" s="701" t="inlineStr"/>
    </row>
    <row r="9">
      <c r="B9" s="645" t="inlineStr">
        <is>
          <t>WACC ADJUSTMENT</t>
        </is>
      </c>
    </row>
    <row r="10" ht="22" customHeight="1">
      <c r="B10" s="707" t="inlineStr">
        <is>
          <t>Base WACC</t>
        </is>
      </c>
      <c r="C10" s="708" t="inlineStr">
        <is>
          <t>8.20%</t>
        </is>
      </c>
    </row>
    <row r="11" ht="22" customHeight="1">
      <c r="B11" s="707" t="inlineStr">
        <is>
          <t>ESG Adjustment</t>
        </is>
      </c>
      <c r="C11" s="709" t="inlineStr">
        <is>
          <t>+17.0bps</t>
        </is>
      </c>
    </row>
    <row r="12" ht="22" customHeight="1">
      <c r="B12" s="710" t="inlineStr">
        <is>
          <t>ESG-Adjusted WACC</t>
        </is>
      </c>
      <c r="C12" s="711" t="inlineStr">
        <is>
          <t>8.03%</t>
        </is>
      </c>
    </row>
    <row r="13" ht="22" customHeight="1">
      <c r="B13" s="707" t="inlineStr">
        <is>
          <t>EV Impact</t>
        </is>
      </c>
      <c r="C13" s="709" t="inlineStr">
        <is>
          <t>PLN +63,148,593,117mn</t>
        </is>
      </c>
    </row>
    <row r="14" ht="22" customHeight="1">
      <c r="B14" s="710" t="inlineStr">
        <is>
          <t>Per-Share Impact</t>
        </is>
      </c>
      <c r="C14" s="712" t="inlineStr">
        <is>
          <t>PLN +4.27</t>
        </is>
      </c>
    </row>
    <row r="16">
      <c r="B16" s="61" t="inlineStr">
        <is>
          <t>EU TAXONOMY — Eligible: 80%  |  Aligned: 47%</t>
        </is>
      </c>
    </row>
    <row r="17" ht="18" customHeight="1">
      <c r="B17" s="713" t="inlineStr">
        <is>
          <t>Activity</t>
        </is>
      </c>
      <c r="C17" s="713" t="inlineStr">
        <is>
          <t>Revenue %</t>
        </is>
      </c>
      <c r="D17" s="713" t="inlineStr">
        <is>
          <t>Eligible</t>
        </is>
      </c>
      <c r="E17" s="713" t="inlineStr">
        <is>
          <t>Aligned</t>
        </is>
      </c>
      <c r="F17" s="713" t="inlineStr"/>
    </row>
    <row r="18" ht="20" customHeight="1">
      <c r="B18" s="714" t="inlineStr">
        <is>
          <t>Green building (new construction)</t>
        </is>
      </c>
      <c r="C18" s="715" t="inlineStr">
        <is>
          <t>35%</t>
        </is>
      </c>
      <c r="D18" s="716" t="inlineStr">
        <is>
          <t>Yes</t>
        </is>
      </c>
      <c r="E18" s="716" t="inlineStr">
        <is>
          <t>Yes</t>
        </is>
      </c>
      <c r="F18" s="701" t="inlineStr"/>
    </row>
    <row r="19" ht="20" customHeight="1">
      <c r="B19" s="714" t="inlineStr">
        <is>
          <t>Energy renovation</t>
        </is>
      </c>
      <c r="C19" s="715" t="inlineStr">
        <is>
          <t>12%</t>
        </is>
      </c>
      <c r="D19" s="716" t="inlineStr">
        <is>
          <t>Yes</t>
        </is>
      </c>
      <c r="E19" s="716" t="inlineStr">
        <is>
          <t>Yes</t>
        </is>
      </c>
      <c r="F19" s="701" t="inlineStr"/>
    </row>
    <row r="20" ht="20" customHeight="1">
      <c r="B20" s="714" t="inlineStr">
        <is>
          <t>Affordable housing</t>
        </is>
      </c>
      <c r="C20" s="715" t="inlineStr">
        <is>
          <t>8%</t>
        </is>
      </c>
      <c r="D20" s="716" t="inlineStr">
        <is>
          <t>Yes</t>
        </is>
      </c>
      <c r="E20" s="717" t="inlineStr">
        <is>
          <t>No</t>
        </is>
      </c>
      <c r="F20" s="701" t="inlineStr"/>
    </row>
    <row r="21" ht="20" customHeight="1">
      <c r="B21" s="714" t="inlineStr">
        <is>
          <t>Commercial development</t>
        </is>
      </c>
      <c r="C21" s="715" t="inlineStr">
        <is>
          <t>25%</t>
        </is>
      </c>
      <c r="D21" s="716" t="inlineStr">
        <is>
          <t>Yes</t>
        </is>
      </c>
      <c r="E21" s="717" t="inlineStr">
        <is>
          <t>No</t>
        </is>
      </c>
      <c r="F21" s="701" t="inlineStr"/>
    </row>
    <row r="22" ht="20" customHeight="1">
      <c r="B22" s="714" t="inlineStr">
        <is>
          <t>Land acquisition</t>
        </is>
      </c>
      <c r="C22" s="715" t="inlineStr">
        <is>
          <t>20%</t>
        </is>
      </c>
      <c r="D22" s="717" t="inlineStr">
        <is>
          <t>No</t>
        </is>
      </c>
      <c r="E22" s="717" t="inlineStr">
        <is>
          <t>No</t>
        </is>
      </c>
      <c r="F22" s="701" t="inlineStr"/>
    </row>
    <row r="24">
      <c r="B24" s="645" t="inlineStr">
        <is>
          <t>THIRD-PARTY ESG RATINGS</t>
        </is>
      </c>
    </row>
    <row r="25" ht="22" customHeight="1">
      <c r="B25" s="707" t="inlineStr">
        <is>
          <t>MSCI ESG Rating</t>
        </is>
      </c>
      <c r="C25" s="718" t="inlineStr">
        <is>
          <t>BBB</t>
        </is>
      </c>
    </row>
    <row r="26" ht="22" customHeight="1">
      <c r="B26" s="707" t="inlineStr">
        <is>
          <t>Sustainalytics</t>
        </is>
      </c>
      <c r="C26" s="718" t="inlineStr">
        <is>
          <t>29 (Medium Risk)</t>
        </is>
      </c>
    </row>
    <row r="27" ht="22" customHeight="1">
      <c r="B27" s="707" t="inlineStr">
        <is>
          <t>S&amp;P CSA Percentile</t>
        </is>
      </c>
      <c r="C27" s="718" t="inlineStr">
        <is>
          <t>71th</t>
        </is>
      </c>
    </row>
    <row r="28">
      <c r="B28" s="719" t="inlineStr">
        <is>
          <t>Green Bond Eligible: YES — qualifies for green/sustainability-linked bond framework</t>
        </is>
      </c>
    </row>
  </sheetData>
  <mergeCells count="15">
    <mergeCell ref="B4:F4"/>
    <mergeCell ref="C13:F13"/>
    <mergeCell ref="B24:F24"/>
    <mergeCell ref="B2:F2"/>
    <mergeCell ref="B16:F16"/>
    <mergeCell ref="C26:F26"/>
    <mergeCell ref="C12:F12"/>
    <mergeCell ref="C27:F27"/>
    <mergeCell ref="B28:F28"/>
    <mergeCell ref="B1:F1"/>
    <mergeCell ref="C11:F11"/>
    <mergeCell ref="C10:F10"/>
    <mergeCell ref="C25:F25"/>
    <mergeCell ref="B9:F9"/>
    <mergeCell ref="C14:F14"/>
  </mergeCells>
  <pageMargins left="0.75" right="0.75" top="1" bottom="1" header="0.5" footer="0.5"/>
</worksheet>
</file>

<file path=xl/worksheets/sheet75.xml><?xml version="1.0" encoding="utf-8"?>
<worksheet xmlns="http://schemas.openxmlformats.org/spreadsheetml/2006/main">
  <sheetPr>
    <tabColor rgb="000071E3"/>
    <outlinePr summaryBelow="1" summaryRight="1"/>
    <pageSetUpPr/>
  </sheetPr>
  <dimension ref="B1:F14"/>
  <sheetViews>
    <sheetView showGridLines="0" workbookViewId="0">
      <pane ySplit="2" topLeftCell="A3" activePane="bottomLeft" state="frozen"/>
      <selection pane="bottomLeft" activeCell="A1" sqref="A1"/>
    </sheetView>
  </sheetViews>
  <sheetFormatPr baseColWidth="8" defaultRowHeight="15"/>
  <cols>
    <col width="2" customWidth="1" min="1" max="1"/>
    <col width="24" customWidth="1" min="2" max="2"/>
    <col width="13" customWidth="1" min="3" max="3"/>
    <col width="13" customWidth="1" min="4" max="4"/>
    <col width="13" customWidth="1" min="5" max="5"/>
    <col width="16" customWidth="1" min="6" max="6"/>
    <col width="2" customWidth="1" min="7" max="7"/>
  </cols>
  <sheetData>
    <row r="1" ht="38" customHeight="1">
      <c r="B1" s="632" t="inlineStr">
        <is>
          <t>SHORT INTEREST &amp; MARKET POSITIONING</t>
        </is>
      </c>
    </row>
    <row r="2" ht="22" customHeight="1">
      <c r="B2" s="720" t="inlineStr">
        <is>
          <t>Short Interest: 4.20% float  |  Days to Cover: 5.2d  |  Crowded Short Risk: LOW</t>
        </is>
      </c>
    </row>
    <row r="4" ht="18" customHeight="1">
      <c r="B4" s="653" t="inlineStr">
        <is>
          <t>Short % of Float</t>
        </is>
      </c>
      <c r="C4" s="721" t="inlineStr">
        <is>
          <t>4.20</t>
        </is>
      </c>
    </row>
    <row r="5" ht="18" customHeight="1">
      <c r="B5" s="653" t="inlineStr">
        <is>
          <t>Days to Cover</t>
        </is>
      </c>
      <c r="C5" s="721" t="inlineStr">
        <is>
          <t>5.25</t>
        </is>
      </c>
    </row>
    <row r="6" ht="18" customHeight="1">
      <c r="B6" s="653" t="inlineStr">
        <is>
          <t>Short Ratio</t>
        </is>
      </c>
      <c r="C6" s="721" t="inlineStr">
        <is>
          <t>0.85</t>
        </is>
      </c>
    </row>
    <row r="7" ht="18" customHeight="1">
      <c r="B7" s="653" t="inlineStr">
        <is>
          <t>Shares Short (M)</t>
        </is>
      </c>
      <c r="C7" s="721" t="inlineStr">
        <is>
          <t>0.00</t>
        </is>
      </c>
    </row>
    <row r="8" ht="18" customHeight="1">
      <c r="B8" s="653" t="inlineStr">
        <is>
          <t>vs. 90d Avg</t>
        </is>
      </c>
      <c r="C8" s="721" t="inlineStr">
        <is>
          <t>0</t>
        </is>
      </c>
    </row>
    <row r="10">
      <c r="B10" s="722" t="inlineStr">
        <is>
          <t>Crowded Short Risk</t>
        </is>
      </c>
      <c r="C10" s="723" t="inlineStr">
        <is>
          <t>LOW</t>
        </is>
      </c>
    </row>
    <row r="12" ht="18" customHeight="1">
      <c r="B12" s="653" t="inlineStr">
        <is>
          <t>Earnings beat</t>
        </is>
      </c>
      <c r="C12" s="724" t="inlineStr">
        <is>
          <t>↑ Squeeze</t>
        </is>
      </c>
      <c r="D12" s="668" t="inlineStr">
        <is>
          <t>High</t>
        </is>
      </c>
    </row>
    <row r="13" ht="18" customHeight="1">
      <c r="B13" s="653" t="inlineStr">
        <is>
          <t>Guidance raise</t>
        </is>
      </c>
      <c r="C13" s="724" t="inlineStr">
        <is>
          <t>↑ Squeeze</t>
        </is>
      </c>
      <c r="D13" s="668" t="inlineStr">
        <is>
          <t>Med</t>
        </is>
      </c>
    </row>
    <row r="14" ht="18" customHeight="1">
      <c r="B14" s="653" t="inlineStr">
        <is>
          <t>Miss + guide down</t>
        </is>
      </c>
      <c r="C14" s="724" t="inlineStr">
        <is>
          <t>↓ Pile-on</t>
        </is>
      </c>
      <c r="D14" s="668" t="inlineStr">
        <is>
          <t>High</t>
        </is>
      </c>
    </row>
  </sheetData>
  <mergeCells count="2">
    <mergeCell ref="B2:F2"/>
    <mergeCell ref="B1:F1"/>
  </mergeCells>
  <pageMargins left="0.75" right="0.75" top="1" bottom="1" header="0.5" footer="0.5"/>
</worksheet>
</file>

<file path=xl/worksheets/sheet76.xml><?xml version="1.0" encoding="utf-8"?>
<worksheet xmlns="http://schemas.openxmlformats.org/spreadsheetml/2006/main">
  <sheetPr>
    <tabColor rgb="000071E3"/>
    <outlinePr summaryBelow="1" summaryRight="1"/>
    <pageSetUpPr/>
  </sheetPr>
  <dimension ref="B1:F10"/>
  <sheetViews>
    <sheetView showGridLines="0" workbookViewId="0">
      <pane ySplit="2" topLeftCell="A3" activePane="bottomLeft" state="frozen"/>
      <selection pane="bottomLeft" activeCell="A1" sqref="A1"/>
    </sheetView>
  </sheetViews>
  <sheetFormatPr baseColWidth="8" defaultRowHeight="15"/>
  <cols>
    <col width="2" customWidth="1" min="1" max="1"/>
    <col width="30" customWidth="1" min="2" max="2"/>
    <col width="14" customWidth="1" min="3" max="3"/>
    <col width="18" customWidth="1" min="4" max="4"/>
    <col width="26" customWidth="1" min="5" max="5"/>
    <col width="14" customWidth="1" min="6" max="6"/>
    <col width="2" customWidth="1" min="7" max="7"/>
  </cols>
  <sheetData>
    <row r="1" ht="38" customHeight="1">
      <c r="B1" s="632" t="inlineStr">
        <is>
          <t>CONSENSUS BRIDGE — OUR PT vs. STREET</t>
        </is>
      </c>
    </row>
    <row r="2" ht="22" customHeight="1">
      <c r="B2" s="725" t="inlineStr">
        <is>
          <t>Consensus PT: USD 234.3  |  Our PT: USD 209.6  |  Delta: -24.7</t>
        </is>
      </c>
    </row>
    <row r="4" ht="18" customHeight="1">
      <c r="B4" s="652" t="inlineStr">
        <is>
          <t>Assumption Step</t>
        </is>
      </c>
      <c r="C4" s="652" t="inlineStr">
        <is>
          <t>Delta vs. Consensus</t>
        </is>
      </c>
      <c r="D4" s="652" t="inlineStr">
        <is>
          <t>Cumulative PT (USD)</t>
        </is>
      </c>
      <c r="E4" s="652" t="inlineStr">
        <is>
          <t>Visual Bar</t>
        </is>
      </c>
      <c r="F4" s="652" t="inlineStr">
        <is>
          <t>Direction</t>
        </is>
      </c>
    </row>
    <row r="5" ht="20" customHeight="1">
      <c r="B5" s="726" t="inlineStr">
        <is>
          <t>Consensus PT</t>
        </is>
      </c>
      <c r="C5" s="727" t="inlineStr">
        <is>
          <t>—</t>
        </is>
      </c>
      <c r="D5" s="652" t="inlineStr">
        <is>
          <t>USD 234.3</t>
        </is>
      </c>
      <c r="E5" s="728" t="inlineStr">
        <is>
          <t>—</t>
        </is>
      </c>
      <c r="F5" s="729" t="inlineStr">
        <is>
          <t>—</t>
        </is>
      </c>
    </row>
    <row r="6" ht="20" customHeight="1">
      <c r="B6" s="653" t="inlineStr">
        <is>
          <t>Revenue Growth</t>
        </is>
      </c>
      <c r="C6" s="730" t="inlineStr">
        <is>
          <t>+0.0</t>
        </is>
      </c>
      <c r="D6" s="668" t="inlineStr">
        <is>
          <t>USD 234.3</t>
        </is>
      </c>
      <c r="E6" s="728" t="inlineStr">
        <is>
          <t>—</t>
        </is>
      </c>
      <c r="F6" s="729" t="inlineStr">
        <is>
          <t>—</t>
        </is>
      </c>
    </row>
    <row r="7" ht="20" customHeight="1">
      <c r="B7" s="653" t="inlineStr">
        <is>
          <t>EBITDA Margin</t>
        </is>
      </c>
      <c r="C7" s="730" t="inlineStr">
        <is>
          <t>+0.0</t>
        </is>
      </c>
      <c r="D7" s="668" t="inlineStr">
        <is>
          <t>USD 234.3</t>
        </is>
      </c>
      <c r="E7" s="728" t="inlineStr">
        <is>
          <t>—</t>
        </is>
      </c>
      <c r="F7" s="729" t="inlineStr">
        <is>
          <t>—</t>
        </is>
      </c>
    </row>
    <row r="8" ht="20" customHeight="1">
      <c r="B8" s="653" t="inlineStr">
        <is>
          <t>WACC</t>
        </is>
      </c>
      <c r="C8" s="730" t="inlineStr">
        <is>
          <t>+0.0</t>
        </is>
      </c>
      <c r="D8" s="668" t="inlineStr">
        <is>
          <t>USD 234.3</t>
        </is>
      </c>
      <c r="E8" s="728" t="inlineStr">
        <is>
          <t>—</t>
        </is>
      </c>
      <c r="F8" s="729" t="inlineStr">
        <is>
          <t>—</t>
        </is>
      </c>
    </row>
    <row r="9" ht="20" customHeight="1">
      <c r="B9" s="653" t="inlineStr">
        <is>
          <t>Terminal Growth</t>
        </is>
      </c>
      <c r="C9" s="730" t="inlineStr">
        <is>
          <t>+0.0</t>
        </is>
      </c>
      <c r="D9" s="668" t="inlineStr">
        <is>
          <t>USD 203.3</t>
        </is>
      </c>
      <c r="E9" s="728" t="inlineStr">
        <is>
          <t>—</t>
        </is>
      </c>
      <c r="F9" s="729" t="inlineStr">
        <is>
          <t>—</t>
        </is>
      </c>
    </row>
    <row r="10" ht="20" customHeight="1">
      <c r="B10" s="726" t="inlineStr">
        <is>
          <t>Our PT</t>
        </is>
      </c>
      <c r="C10" s="727" t="inlineStr">
        <is>
          <t>—</t>
        </is>
      </c>
      <c r="D10" s="652" t="inlineStr">
        <is>
          <t>USD 209.6</t>
        </is>
      </c>
      <c r="E10" s="728" t="inlineStr">
        <is>
          <t>—</t>
        </is>
      </c>
      <c r="F10" s="729" t="inlineStr">
        <is>
          <t>—</t>
        </is>
      </c>
    </row>
  </sheetData>
  <mergeCells count="2">
    <mergeCell ref="B2:F2"/>
    <mergeCell ref="B1:F1"/>
  </mergeCells>
  <pageMargins left="0.75" right="0.75" top="1" bottom="1" header="0.5" footer="0.5"/>
</worksheet>
</file>

<file path=xl/worksheets/sheet77.xml><?xml version="1.0" encoding="utf-8"?>
<worksheet xmlns="http://schemas.openxmlformats.org/spreadsheetml/2006/main">
  <sheetPr>
    <tabColor rgb="000071E3"/>
    <outlinePr summaryBelow="1" summaryRight="1"/>
    <pageSetUpPr fitToPage="1"/>
  </sheetPr>
  <dimension ref="A1:K99"/>
  <sheetViews>
    <sheetView showGridLines="0" workbookViewId="0">
      <pane ySplit="4" topLeftCell="A5" activePane="bottomLeft" state="frozen"/>
      <selection pane="bottomLeft" activeCell="A1" sqref="A1"/>
    </sheetView>
  </sheetViews>
  <sheetFormatPr baseColWidth="8" defaultRowHeight="15"/>
  <cols>
    <col width="1.5" customWidth="1" min="1" max="1"/>
    <col width="18"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5" customWidth="1" min="11" max="11"/>
  </cols>
  <sheetData>
    <row r="1" ht="6" customHeight="1"/>
    <row r="2" ht="38" customHeight="1">
      <c r="B2" s="731" t="inlineStr">
        <is>
          <t xml:space="preserve">  APPLE INC.  (AAPL)  ·  STRATEGY COMMAND CENTRE</t>
        </is>
      </c>
    </row>
    <row r="3" ht="16" customHeight="1">
      <c r="B3" s="732" t="inlineStr">
        <is>
          <t xml:space="preserve">  Investment strategy overview — position sizing, entry/exit, factor analysis</t>
        </is>
      </c>
      <c r="G3" s="733" t="inlineStr">
        <is>
          <t xml:space="preserve">  July 11, 2026</t>
        </is>
      </c>
    </row>
    <row r="4" ht="4" customHeight="1">
      <c r="B4" s="4" t="n"/>
      <c r="C4" s="4" t="n"/>
      <c r="D4" s="4" t="n"/>
      <c r="E4" s="4" t="n"/>
      <c r="F4" s="4" t="n"/>
      <c r="G4" s="4" t="n"/>
      <c r="H4" s="4" t="n"/>
      <c r="I4" s="4" t="n"/>
      <c r="J4" s="4" t="n"/>
    </row>
    <row r="5" ht="6" customHeight="1">
      <c r="B5" s="5" t="n"/>
      <c r="C5" s="5" t="n"/>
      <c r="D5" s="5" t="n"/>
      <c r="E5" s="5" t="n"/>
      <c r="F5" s="5" t="n"/>
      <c r="G5" s="5" t="n"/>
      <c r="H5" s="5" t="n"/>
      <c r="I5" s="5" t="n"/>
      <c r="J5" s="5" t="n"/>
    </row>
    <row r="6" ht="26" customHeight="1">
      <c r="B6" s="734" t="inlineStr">
        <is>
          <t>ACTION SIGNAL</t>
        </is>
      </c>
      <c r="C6" s="735" t="n"/>
      <c r="D6" s="734" t="inlineStr">
        <is>
          <t>RISK / REWARD</t>
        </is>
      </c>
      <c r="E6" s="735" t="n"/>
      <c r="F6" s="736" t="inlineStr">
        <is>
          <t>POSITION SIZE</t>
        </is>
      </c>
      <c r="G6" s="737" t="n"/>
      <c r="H6" s="734" t="inlineStr">
        <is>
          <t>FACTOR SCORE</t>
        </is>
      </c>
      <c r="I6" s="735" t="n"/>
      <c r="J6" s="738" t="inlineStr">
        <is>
          <t>EST. MOMENTUM</t>
        </is>
      </c>
    </row>
    <row r="7" ht="22" customHeight="1">
      <c r="B7" s="739" t="inlineStr">
        <is>
          <t>HOLD / ACCUMULATE</t>
        </is>
      </c>
      <c r="D7" s="739" t="inlineStr">
        <is>
          <t>-0.1x</t>
        </is>
      </c>
      <c r="F7" s="740" t="inlineStr">
        <is>
          <t>0.0% portfolio</t>
        </is>
      </c>
      <c r="H7" s="739" t="inlineStr">
        <is>
          <t>51 / 100</t>
        </is>
      </c>
      <c r="J7" s="741" t="inlineStr">
        <is>
          <t>POSITIVE</t>
        </is>
      </c>
    </row>
    <row r="8" ht="6" customHeight="1">
      <c r="B8" s="5" t="n"/>
      <c r="C8" s="5" t="n"/>
      <c r="D8" s="5" t="n"/>
      <c r="E8" s="5" t="n"/>
      <c r="F8" s="5" t="n"/>
      <c r="G8" s="5" t="n"/>
      <c r="H8" s="5" t="n"/>
      <c r="I8" s="5" t="n"/>
      <c r="J8" s="5" t="n"/>
    </row>
    <row r="9" ht="3" customHeight="1">
      <c r="B9" s="4" t="n"/>
      <c r="C9" s="4" t="n"/>
      <c r="D9" s="4" t="n"/>
      <c r="E9" s="4" t="n"/>
      <c r="F9" s="4" t="n"/>
      <c r="G9" s="4" t="n"/>
      <c r="H9" s="4" t="n"/>
      <c r="I9" s="4" t="n"/>
      <c r="J9" s="4" t="n"/>
    </row>
    <row r="10" ht="4" customHeight="1">
      <c r="B10" s="5" t="n"/>
      <c r="C10" s="5" t="n"/>
      <c r="D10" s="5" t="n"/>
      <c r="E10" s="5" t="n"/>
      <c r="F10" s="5" t="n"/>
      <c r="G10" s="5" t="n"/>
      <c r="H10" s="5" t="n"/>
      <c r="I10" s="5" t="n"/>
      <c r="J10" s="5" t="n"/>
    </row>
    <row r="11" ht="20" customHeight="1">
      <c r="B11" s="742" t="inlineStr">
        <is>
          <t xml:space="preserve">  ENTRY / EXIT FRAMEWORK</t>
        </is>
      </c>
    </row>
    <row r="12" ht="17" customHeight="1">
      <c r="B12" s="743" t="inlineStr">
        <is>
          <t>Strong Buy</t>
        </is>
      </c>
      <c r="C12" s="744" t="inlineStr">
        <is>
          <t>USD157.22</t>
        </is>
      </c>
      <c r="D12" s="745" t="inlineStr">
        <is>
          <t xml:space="preserve"> </t>
        </is>
      </c>
      <c r="E12" s="48" t="inlineStr">
        <is>
          <t>Max conviction entry — &gt;25% discount to fair value</t>
        </is>
      </c>
      <c r="F12" s="746" t="n"/>
      <c r="G12" s="746" t="n"/>
    </row>
    <row r="13" ht="17" customHeight="1">
      <c r="B13" s="747" t="inlineStr">
        <is>
          <t>Buy Zone</t>
        </is>
      </c>
      <c r="C13" s="54" t="inlineStr">
        <is>
          <t>USD172 – USD189</t>
        </is>
      </c>
      <c r="D13" s="748" t="inlineStr">
        <is>
          <t xml:space="preserve"> </t>
        </is>
      </c>
      <c r="E13" s="19" t="inlineStr">
        <is>
          <t>10-25% discount — standard entry zone</t>
        </is>
      </c>
      <c r="F13" s="746" t="n"/>
      <c r="G13" s="746" t="n"/>
    </row>
    <row r="14" ht="17" customHeight="1">
      <c r="B14" s="749" t="inlineStr">
        <is>
          <t>Fair Value</t>
        </is>
      </c>
      <c r="C14" s="49" t="inlineStr">
        <is>
          <t>USD209.62</t>
        </is>
      </c>
      <c r="D14" s="745" t="inlineStr">
        <is>
          <t>▶</t>
        </is>
      </c>
      <c r="E14" s="48" t="inlineStr">
        <is>
          <t>Base case intrinsic value</t>
        </is>
      </c>
      <c r="F14" s="746" t="n"/>
      <c r="G14" s="746" t="n"/>
    </row>
    <row r="15" ht="17" customHeight="1">
      <c r="B15" s="750" t="inlineStr">
        <is>
          <t>Trim Zone</t>
        </is>
      </c>
      <c r="C15" s="751" t="inlineStr">
        <is>
          <t>USD230.59</t>
        </is>
      </c>
      <c r="D15" s="748" t="inlineStr">
        <is>
          <t xml:space="preserve"> </t>
        </is>
      </c>
      <c r="E15" s="19" t="inlineStr">
        <is>
          <t>Begin reducing at 10% premium</t>
        </is>
      </c>
      <c r="F15" s="746" t="n"/>
      <c r="G15" s="746" t="n"/>
    </row>
    <row r="16" ht="17" customHeight="1">
      <c r="B16" s="752" t="inlineStr">
        <is>
          <t>Full Exit</t>
        </is>
      </c>
      <c r="C16" s="753" t="inlineStr">
        <is>
          <t>USD251.55</t>
        </is>
      </c>
      <c r="D16" s="745" t="inlineStr">
        <is>
          <t xml:space="preserve"> </t>
        </is>
      </c>
      <c r="E16" s="48" t="inlineStr">
        <is>
          <t>Exit above 20% premium — fully valued</t>
        </is>
      </c>
      <c r="F16" s="746" t="n"/>
      <c r="G16" s="746" t="n"/>
    </row>
    <row r="17" ht="17" customHeight="1">
      <c r="B17" s="754" t="inlineStr">
        <is>
          <t>Stop Loss</t>
        </is>
      </c>
      <c r="C17" s="755" t="inlineStr">
        <is>
          <t>USD181.05</t>
        </is>
      </c>
      <c r="D17" s="748" t="inlineStr">
        <is>
          <t xml:space="preserve"> </t>
        </is>
      </c>
      <c r="E17" s="19" t="inlineStr">
        <is>
          <t>-15% from entry — risk discipline</t>
        </is>
      </c>
      <c r="F17" s="746" t="n"/>
      <c r="G17" s="746" t="n"/>
    </row>
    <row r="18" ht="17" customHeight="1">
      <c r="B18" s="743" t="inlineStr">
        <is>
          <t>Bull Target</t>
        </is>
      </c>
      <c r="C18" s="744" t="inlineStr">
        <is>
          <t>USD243.63</t>
        </is>
      </c>
      <c r="D18" s="745" t="inlineStr">
        <is>
          <t xml:space="preserve"> </t>
        </is>
      </c>
      <c r="E18" s="48" t="inlineStr">
        <is>
          <t>Bull case upside</t>
        </is>
      </c>
      <c r="F18" s="746" t="n"/>
      <c r="G18" s="746" t="n"/>
    </row>
    <row r="19" ht="17" customHeight="1">
      <c r="B19" s="754" t="inlineStr">
        <is>
          <t>Bear Case</t>
        </is>
      </c>
      <c r="C19" s="755" t="inlineStr">
        <is>
          <t>USD92.57</t>
        </is>
      </c>
      <c r="D19" s="748" t="inlineStr">
        <is>
          <t xml:space="preserve"> </t>
        </is>
      </c>
      <c r="E19" s="19" t="inlineStr">
        <is>
          <t>Bear downside — size accordingly</t>
        </is>
      </c>
      <c r="F19" s="746" t="n"/>
      <c r="G19" s="746" t="n"/>
    </row>
    <row r="20" ht="18" customHeight="1">
      <c r="B20" s="143" t="inlineStr">
        <is>
          <t xml:space="preserve">  CURRENT PRICE: USD213.00  ·  Signal: HOLD / ACCUMULATE  ·  R/R: -0.1x</t>
        </is>
      </c>
    </row>
    <row r="22" ht="3" customHeight="1">
      <c r="B22" s="4" t="n"/>
      <c r="C22" s="4" t="n"/>
      <c r="D22" s="4" t="n"/>
      <c r="E22" s="4" t="n"/>
      <c r="F22" s="4" t="n"/>
      <c r="G22" s="4" t="n"/>
      <c r="H22" s="4" t="n"/>
      <c r="I22" s="4" t="n"/>
      <c r="J22" s="4" t="n"/>
    </row>
    <row r="23" ht="4" customHeight="1">
      <c r="B23" s="5" t="n"/>
      <c r="C23" s="5" t="n"/>
      <c r="D23" s="5" t="n"/>
      <c r="E23" s="5" t="n"/>
      <c r="F23" s="5" t="n"/>
      <c r="G23" s="5" t="n"/>
      <c r="H23" s="5" t="n"/>
      <c r="I23" s="5" t="n"/>
      <c r="J23" s="5" t="n"/>
    </row>
    <row r="24" ht="20" customHeight="1">
      <c r="B24" s="742" t="inlineStr">
        <is>
          <t xml:space="preserve">  POSITION SIZING  —  Kelly Criterion</t>
        </is>
      </c>
    </row>
    <row r="25" ht="16" customHeight="1">
      <c r="B25" s="756" t="inlineStr">
        <is>
          <t>Expected Return</t>
        </is>
      </c>
      <c r="C25" s="757" t="inlineStr">
        <is>
          <t>-11.3%</t>
        </is>
      </c>
    </row>
    <row r="26" ht="16" customHeight="1">
      <c r="B26" s="758" t="inlineStr">
        <is>
          <t>Standard Deviation</t>
        </is>
      </c>
      <c r="C26" s="759" t="inlineStr">
        <is>
          <t>26.9%</t>
        </is>
      </c>
    </row>
    <row r="27" ht="16" customHeight="1">
      <c r="B27" s="756" t="inlineStr">
        <is>
          <t>Sharpe Ratio</t>
        </is>
      </c>
      <c r="C27" s="757" t="inlineStr">
        <is>
          <t>-0.59x</t>
        </is>
      </c>
    </row>
    <row r="28" ht="16" customHeight="1">
      <c r="B28" s="758" t="inlineStr">
        <is>
          <t>Full Kelly %</t>
        </is>
      </c>
      <c r="C28" s="759" t="inlineStr">
        <is>
          <t>-156.6%</t>
        </is>
      </c>
    </row>
    <row r="29" ht="16" customHeight="1">
      <c r="B29" s="760" t="inlineStr">
        <is>
          <t>Half Kelly % (rec)</t>
        </is>
      </c>
      <c r="C29" s="51" t="inlineStr">
        <is>
          <t>-78.3%</t>
        </is>
      </c>
    </row>
    <row r="30" ht="16" customHeight="1">
      <c r="B30" s="747" t="inlineStr">
        <is>
          <t>Recommended Size</t>
        </is>
      </c>
      <c r="C30" s="54" t="inlineStr">
        <is>
          <t>0.0%</t>
        </is>
      </c>
    </row>
    <row r="31" ht="14" customHeight="1">
      <c r="B31" s="761" t="inlineStr">
        <is>
          <t>Scenario</t>
        </is>
      </c>
      <c r="C31" s="762" t="inlineStr">
        <is>
          <t>Return</t>
        </is>
      </c>
      <c r="D31" s="762" t="inlineStr">
        <is>
          <t>Probability</t>
        </is>
      </c>
    </row>
    <row r="32" ht="16" customHeight="1">
      <c r="B32" s="754" t="inlineStr">
        <is>
          <t>Bear Return</t>
        </is>
      </c>
      <c r="C32" s="755" t="inlineStr">
        <is>
          <t>-56.5%</t>
        </is>
      </c>
      <c r="D32" s="763" t="inlineStr">
        <is>
          <t>P=25%</t>
        </is>
      </c>
    </row>
    <row r="33" ht="16" customHeight="1">
      <c r="B33" s="760" t="inlineStr">
        <is>
          <t>Base Return</t>
        </is>
      </c>
      <c r="C33" s="51" t="inlineStr">
        <is>
          <t>-1.6%</t>
        </is>
      </c>
      <c r="D33" s="764" t="inlineStr">
        <is>
          <t>P=50%</t>
        </is>
      </c>
    </row>
    <row r="34" ht="16" customHeight="1">
      <c r="B34" s="765" t="inlineStr">
        <is>
          <t>Bull Return</t>
        </is>
      </c>
      <c r="C34" s="766" t="inlineStr">
        <is>
          <t>+14.4%</t>
        </is>
      </c>
      <c r="D34" s="763" t="inlineStr">
        <is>
          <t>P=25%</t>
        </is>
      </c>
    </row>
    <row r="35" ht="4" customHeight="1">
      <c r="B35" s="5" t="n"/>
      <c r="C35" s="5" t="n"/>
      <c r="D35" s="5" t="n"/>
      <c r="E35" s="5" t="n"/>
      <c r="F35" s="5" t="n"/>
      <c r="G35" s="5" t="n"/>
      <c r="H35" s="5" t="n"/>
      <c r="I35" s="5" t="n"/>
      <c r="J35" s="5" t="n"/>
    </row>
    <row r="36" ht="3" customHeight="1">
      <c r="B36" s="4" t="n"/>
      <c r="C36" s="4" t="n"/>
      <c r="D36" s="4" t="n"/>
      <c r="E36" s="4" t="n"/>
      <c r="F36" s="4" t="n"/>
      <c r="G36" s="4" t="n"/>
      <c r="H36" s="4" t="n"/>
      <c r="I36" s="4" t="n"/>
      <c r="J36" s="4" t="n"/>
    </row>
    <row r="37" ht="4" customHeight="1">
      <c r="B37" s="5" t="n"/>
      <c r="C37" s="5" t="n"/>
      <c r="D37" s="5" t="n"/>
      <c r="E37" s="5" t="n"/>
      <c r="F37" s="5" t="n"/>
      <c r="G37" s="5" t="n"/>
      <c r="H37" s="5" t="n"/>
      <c r="I37" s="5" t="n"/>
      <c r="J37" s="5" t="n"/>
    </row>
    <row r="38" ht="20" customHeight="1">
      <c r="B38" s="742" t="inlineStr">
        <is>
          <t xml:space="preserve">  FACTOR EXPOSURE  —  6-Factor Model</t>
        </is>
      </c>
    </row>
    <row r="39" ht="16" customHeight="1">
      <c r="B39" s="761" t="inlineStr">
        <is>
          <t>Factor</t>
        </is>
      </c>
      <c r="C39" s="762" t="inlineStr">
        <is>
          <t>Score /100</t>
        </is>
      </c>
      <c r="D39" s="762" t="inlineStr">
        <is>
          <t>Bar</t>
        </is>
      </c>
      <c r="E39" s="762" t="inlineStr">
        <is>
          <t>Interpretation</t>
        </is>
      </c>
    </row>
    <row r="40" ht="17" customHeight="1">
      <c r="B40" s="767" t="inlineStr">
        <is>
          <t>Quality</t>
        </is>
      </c>
      <c r="C40" s="768" t="inlineStr">
        <is>
          <t>61</t>
        </is>
      </c>
      <c r="D40" s="769" t="inlineStr">
        <is>
          <t>████████████░░░░░░░░</t>
        </is>
      </c>
      <c r="E40" s="770" t="inlineStr">
        <is>
          <t>MODERATE</t>
        </is>
      </c>
      <c r="F40" s="746" t="n"/>
      <c r="G40" s="746" t="n"/>
    </row>
    <row r="41" ht="17" customHeight="1">
      <c r="B41" s="749" t="inlineStr">
        <is>
          <t>Value</t>
        </is>
      </c>
      <c r="C41" s="771" t="inlineStr">
        <is>
          <t>39</t>
        </is>
      </c>
      <c r="D41" s="772" t="inlineStr">
        <is>
          <t>███████░░░░░░░░░░░░░</t>
        </is>
      </c>
      <c r="E41" s="773" t="inlineStr">
        <is>
          <t>WEAK</t>
        </is>
      </c>
      <c r="F41" s="746" t="n"/>
      <c r="G41" s="746" t="n"/>
    </row>
    <row r="42" ht="17" customHeight="1">
      <c r="B42" s="767" t="inlineStr">
        <is>
          <t>Growth</t>
        </is>
      </c>
      <c r="C42" s="768" t="inlineStr">
        <is>
          <t>62</t>
        </is>
      </c>
      <c r="D42" s="769" t="inlineStr">
        <is>
          <t>████████████░░░░░░░░</t>
        </is>
      </c>
      <c r="E42" s="770" t="inlineStr">
        <is>
          <t>MODERATE</t>
        </is>
      </c>
      <c r="F42" s="746" t="n"/>
      <c r="G42" s="746" t="n"/>
    </row>
    <row r="43" ht="17" customHeight="1">
      <c r="B43" s="749" t="inlineStr">
        <is>
          <t>Momentum</t>
        </is>
      </c>
      <c r="C43" s="774" t="inlineStr">
        <is>
          <t>61</t>
        </is>
      </c>
      <c r="D43" s="775" t="inlineStr">
        <is>
          <t>████████████░░░░░░░░</t>
        </is>
      </c>
      <c r="E43" s="776" t="inlineStr">
        <is>
          <t>MODERATE</t>
        </is>
      </c>
      <c r="F43" s="746" t="n"/>
      <c r="G43" s="746" t="n"/>
    </row>
    <row r="44" ht="17" customHeight="1">
      <c r="B44" s="767" t="inlineStr">
        <is>
          <t>Low Vol</t>
        </is>
      </c>
      <c r="C44" s="768" t="inlineStr">
        <is>
          <t>46</t>
        </is>
      </c>
      <c r="D44" s="769" t="inlineStr">
        <is>
          <t>█████████░░░░░░░░░░░</t>
        </is>
      </c>
      <c r="E44" s="770" t="inlineStr">
        <is>
          <t>MODERATE</t>
        </is>
      </c>
      <c r="F44" s="746" t="n"/>
      <c r="G44" s="746" t="n"/>
    </row>
    <row r="45" ht="17" customHeight="1">
      <c r="B45" s="749" t="inlineStr">
        <is>
          <t>Yield</t>
        </is>
      </c>
      <c r="C45" s="771" t="inlineStr">
        <is>
          <t>20</t>
        </is>
      </c>
      <c r="D45" s="772" t="inlineStr">
        <is>
          <t>████░░░░░░░░░░░░░░░░</t>
        </is>
      </c>
      <c r="E45" s="773" t="inlineStr">
        <is>
          <t>WEAK</t>
        </is>
      </c>
      <c r="F45" s="746" t="n"/>
      <c r="G45" s="746" t="n"/>
    </row>
    <row r="46" ht="17" customHeight="1">
      <c r="B46" s="742" t="inlineStr">
        <is>
          <t xml:space="preserve">  Dominant factor: Growth  ·  Overall score: 51/100</t>
        </is>
      </c>
    </row>
    <row r="48" ht="3" customHeight="1">
      <c r="B48" s="4" t="n"/>
      <c r="C48" s="4" t="n"/>
      <c r="D48" s="4" t="n"/>
      <c r="E48" s="4" t="n"/>
      <c r="F48" s="4" t="n"/>
      <c r="G48" s="4" t="n"/>
      <c r="H48" s="4" t="n"/>
      <c r="I48" s="4" t="n"/>
      <c r="J48" s="4" t="n"/>
    </row>
    <row r="49" ht="4" customHeight="1">
      <c r="B49" s="5" t="n"/>
      <c r="C49" s="5" t="n"/>
      <c r="D49" s="5" t="n"/>
      <c r="E49" s="5" t="n"/>
      <c r="F49" s="5" t="n"/>
      <c r="G49" s="5" t="n"/>
      <c r="H49" s="5" t="n"/>
      <c r="I49" s="5" t="n"/>
      <c r="J49" s="5" t="n"/>
    </row>
    <row r="50" ht="20" customHeight="1">
      <c r="B50" s="742" t="inlineStr">
        <is>
          <t xml:space="preserve">  EARNINGS REVISION MOMENTUM</t>
        </is>
      </c>
    </row>
    <row r="51" ht="16" customHeight="1">
      <c r="B51" s="762" t="inlineStr">
        <is>
          <t>Period</t>
        </is>
      </c>
      <c r="C51" s="762" t="inlineStr">
        <is>
          <t>NTM EPS Est.</t>
        </is>
      </c>
      <c r="D51" s="762" t="inlineStr">
        <is>
          <t>Change</t>
        </is>
      </c>
    </row>
    <row r="52" ht="16" customHeight="1">
      <c r="B52" s="758" t="inlineStr">
        <is>
          <t>3 Months Ago</t>
        </is>
      </c>
      <c r="C52" s="52" t="inlineStr">
        <is>
          <t>USD7.02</t>
        </is>
      </c>
      <c r="D52" s="777" t="inlineStr">
        <is>
          <t>—</t>
        </is>
      </c>
    </row>
    <row r="53" ht="16" customHeight="1">
      <c r="B53" s="756" t="inlineStr">
        <is>
          <t>2 Months Ago</t>
        </is>
      </c>
      <c r="C53" s="49" t="inlineStr">
        <is>
          <t>USD7.06</t>
        </is>
      </c>
      <c r="D53" s="778" t="inlineStr">
        <is>
          <t>+0.9%</t>
        </is>
      </c>
    </row>
    <row r="54" ht="16" customHeight="1">
      <c r="B54" s="758" t="inlineStr">
        <is>
          <t>1 Month Ago</t>
        </is>
      </c>
      <c r="C54" s="52" t="inlineStr">
        <is>
          <t>USD7.11</t>
        </is>
      </c>
      <c r="D54" s="777" t="inlineStr">
        <is>
          <t>+0.3%</t>
        </is>
      </c>
    </row>
    <row r="55" ht="16" customHeight="1">
      <c r="B55" s="756" t="inlineStr">
        <is>
          <t>Current</t>
        </is>
      </c>
      <c r="C55" s="49" t="inlineStr">
        <is>
          <t>USD7.13</t>
        </is>
      </c>
      <c r="D55" s="779" t="inlineStr">
        <is>
          <t>+0.0%</t>
        </is>
      </c>
    </row>
    <row r="56" ht="17" customHeight="1">
      <c r="B56" s="780" t="inlineStr">
        <is>
          <t xml:space="preserve">  Revisions breadth: 22 UP  /  13 DOWN  out of 35 analysts  ·  POSITIVE MOMENTUM</t>
        </is>
      </c>
    </row>
    <row r="58" ht="3" customHeight="1">
      <c r="B58" s="4" t="n"/>
      <c r="C58" s="4" t="n"/>
      <c r="D58" s="4" t="n"/>
      <c r="E58" s="4" t="n"/>
      <c r="F58" s="4" t="n"/>
      <c r="G58" s="4" t="n"/>
      <c r="H58" s="4" t="n"/>
      <c r="I58" s="4" t="n"/>
      <c r="J58" s="4" t="n"/>
    </row>
    <row r="59" ht="4" customHeight="1">
      <c r="B59" s="5" t="n"/>
      <c r="C59" s="5" t="n"/>
      <c r="D59" s="5" t="n"/>
      <c r="E59" s="5" t="n"/>
      <c r="F59" s="5" t="n"/>
      <c r="G59" s="5" t="n"/>
      <c r="H59" s="5" t="n"/>
      <c r="I59" s="5" t="n"/>
      <c r="J59" s="5" t="n"/>
    </row>
    <row r="60" ht="20" customHeight="1">
      <c r="B60" s="742" t="inlineStr">
        <is>
          <t xml:space="preserve">  MACRO REGIME FIT</t>
        </is>
      </c>
    </row>
    <row r="61" ht="16" customHeight="1">
      <c r="B61" s="761" t="inlineStr">
        <is>
          <t>Macro Regime</t>
        </is>
      </c>
      <c r="C61" s="762" t="inlineStr">
        <is>
          <t>Performance</t>
        </is>
      </c>
      <c r="D61" s="762" t="inlineStr">
        <is>
          <t>Score</t>
        </is>
      </c>
      <c r="E61" s="762" t="inlineStr">
        <is>
          <t>Implied PT</t>
        </is>
      </c>
      <c r="F61" s="762" t="inlineStr">
        <is>
          <t>Note</t>
        </is>
      </c>
      <c r="G61" s="781" t="n"/>
      <c r="H61" s="781" t="n"/>
      <c r="I61" s="781" t="n"/>
      <c r="J61" s="781" t="n"/>
    </row>
    <row r="62" ht="17" customHeight="1">
      <c r="B62" s="758" t="inlineStr">
        <is>
          <t>Goldilocks (↑ Growth, ↓ Rates)</t>
        </is>
      </c>
      <c r="C62" s="782" t="inlineStr">
        <is>
          <t>VERY STRONG</t>
        </is>
      </c>
      <c r="D62" s="777" t="inlineStr">
        <is>
          <t>75</t>
        </is>
      </c>
      <c r="E62" s="763" t="inlineStr">
        <is>
          <t>USD252</t>
        </is>
      </c>
      <c r="F62" s="19" t="inlineStr">
        <is>
          <t>Ideal: strong earnings, low discount rate lifts multiples</t>
        </is>
      </c>
      <c r="G62" s="746" t="n"/>
      <c r="H62" s="746" t="n"/>
      <c r="I62" s="746" t="n"/>
      <c r="J62" s="746" t="n"/>
    </row>
    <row r="63" ht="17" customHeight="1">
      <c r="B63" s="756" t="inlineStr">
        <is>
          <t>Rising Rates (Fed Hiking)</t>
        </is>
      </c>
      <c r="C63" s="783" t="inlineStr">
        <is>
          <t>WEAK</t>
        </is>
      </c>
      <c r="D63" s="771" t="inlineStr">
        <is>
          <t>46</t>
        </is>
      </c>
      <c r="E63" s="764" t="inlineStr">
        <is>
          <t>USD178</t>
        </is>
      </c>
      <c r="F63" s="48" t="inlineStr">
        <is>
          <t>Growth multiples compress; FCF yield support helps</t>
        </is>
      </c>
      <c r="G63" s="746" t="n"/>
      <c r="H63" s="746" t="n"/>
      <c r="I63" s="746" t="n"/>
      <c r="J63" s="746" t="n"/>
    </row>
    <row r="64" ht="17" customHeight="1">
      <c r="B64" s="758" t="inlineStr">
        <is>
          <t>Recession / Risk-Off</t>
        </is>
      </c>
      <c r="C64" s="784" t="inlineStr">
        <is>
          <t>MODERATE</t>
        </is>
      </c>
      <c r="D64" s="768" t="inlineStr">
        <is>
          <t>51</t>
        </is>
      </c>
      <c r="E64" s="763" t="inlineStr">
        <is>
          <t>USD164</t>
        </is>
      </c>
      <c r="F64" s="19" t="inlineStr">
        <is>
          <t>FCF generation + buybacks provide floor; cyclical revenues hurt</t>
        </is>
      </c>
      <c r="G64" s="746" t="n"/>
      <c r="H64" s="746" t="n"/>
      <c r="I64" s="746" t="n"/>
      <c r="J64" s="746" t="n"/>
    </row>
    <row r="65" ht="17" customHeight="1">
      <c r="B65" s="756" t="inlineStr">
        <is>
          <t>Stagflation (↑ Inflation, ↓ Growth)</t>
        </is>
      </c>
      <c r="C65" s="785" t="inlineStr">
        <is>
          <t>MODERATE</t>
        </is>
      </c>
      <c r="D65" s="774" t="inlineStr">
        <is>
          <t>44</t>
        </is>
      </c>
      <c r="E65" s="764" t="inlineStr">
        <is>
          <t>USD172</t>
        </is>
      </c>
      <c r="F65" s="48" t="inlineStr">
        <is>
          <t>Pricing power (high gross margins) is key defense</t>
        </is>
      </c>
      <c r="G65" s="746" t="n"/>
      <c r="H65" s="746" t="n"/>
      <c r="I65" s="746" t="n"/>
      <c r="J65" s="746" t="n"/>
    </row>
    <row r="66" ht="17" customHeight="1">
      <c r="B66" s="758" t="inlineStr">
        <is>
          <t>Soft Landing (Moderate Growth)</t>
        </is>
      </c>
      <c r="C66" s="782" t="inlineStr">
        <is>
          <t>STRONG</t>
        </is>
      </c>
      <c r="D66" s="777" t="inlineStr">
        <is>
          <t>90</t>
        </is>
      </c>
      <c r="E66" s="763" t="inlineStr">
        <is>
          <t>USD220</t>
        </is>
      </c>
      <c r="F66" s="19" t="inlineStr">
        <is>
          <t>Base case environment — model target most applicable</t>
        </is>
      </c>
      <c r="G66" s="746" t="n"/>
      <c r="H66" s="746" t="n"/>
      <c r="I66" s="746" t="n"/>
      <c r="J66" s="746" t="n"/>
    </row>
    <row r="67" ht="17" customHeight="1">
      <c r="B67" s="756" t="inlineStr">
        <is>
          <t>AI / Tech Supercycle</t>
        </is>
      </c>
      <c r="C67" s="786" t="inlineStr">
        <is>
          <t>VERY STRONG</t>
        </is>
      </c>
      <c r="D67" s="778" t="inlineStr">
        <is>
          <t>100</t>
        </is>
      </c>
      <c r="E67" s="764" t="inlineStr">
        <is>
          <t>USD293</t>
        </is>
      </c>
      <c r="F67" s="48" t="inlineStr">
        <is>
          <t>AI adoption drives premium re-rating</t>
        </is>
      </c>
      <c r="G67" s="746" t="n"/>
      <c r="H67" s="746" t="n"/>
      <c r="I67" s="746" t="n"/>
      <c r="J67" s="746" t="n"/>
    </row>
    <row r="69" ht="3" customHeight="1">
      <c r="B69" s="4" t="n"/>
      <c r="C69" s="4" t="n"/>
      <c r="D69" s="4" t="n"/>
      <c r="E69" s="4" t="n"/>
      <c r="F69" s="4" t="n"/>
      <c r="G69" s="4" t="n"/>
      <c r="H69" s="4" t="n"/>
      <c r="I69" s="4" t="n"/>
      <c r="J69" s="4" t="n"/>
    </row>
    <row r="70" ht="4" customHeight="1">
      <c r="B70" s="5" t="n"/>
      <c r="C70" s="5" t="n"/>
      <c r="D70" s="5" t="n"/>
      <c r="E70" s="5" t="n"/>
      <c r="F70" s="5" t="n"/>
      <c r="G70" s="5" t="n"/>
      <c r="H70" s="5" t="n"/>
      <c r="I70" s="5" t="n"/>
      <c r="J70" s="5" t="n"/>
    </row>
    <row r="71" ht="20" customHeight="1">
      <c r="B71" s="742" t="inlineStr">
        <is>
          <t xml:space="preserve">  RELATIVE VALUE vs PEERS  —  #5 of 6</t>
        </is>
      </c>
    </row>
    <row r="72" ht="16" customHeight="1">
      <c r="B72" s="761" t="inlineStr">
        <is>
          <t>#</t>
        </is>
      </c>
      <c r="C72" s="761" t="inlineStr">
        <is>
          <t>Company</t>
        </is>
      </c>
      <c r="D72" s="762" t="inlineStr">
        <is>
          <t>EV/EBITDA</t>
        </is>
      </c>
      <c r="E72" s="762" t="inlineStr">
        <is>
          <t>P/E</t>
        </is>
      </c>
      <c r="F72" s="762" t="inlineStr">
        <is>
          <t>ROIC</t>
        </is>
      </c>
      <c r="G72" s="762" t="inlineStr">
        <is>
          <t>Rev Growth</t>
        </is>
      </c>
      <c r="H72" s="762" t="inlineStr">
        <is>
          <t>FCF Mgn</t>
        </is>
      </c>
      <c r="I72" s="762" t="inlineStr">
        <is>
          <t>Score</t>
        </is>
      </c>
      <c r="J72" s="762" t="inlineStr">
        <is>
          <t>Upside</t>
        </is>
      </c>
    </row>
    <row r="73" ht="17" customHeight="1">
      <c r="B73" s="758" t="n">
        <v>1</v>
      </c>
      <c r="C73" s="758" t="inlineStr">
        <is>
          <t>Meta</t>
        </is>
      </c>
      <c r="D73" s="763" t="inlineStr">
        <is>
          <t>15.3x</t>
        </is>
      </c>
      <c r="E73" s="763" t="inlineStr">
        <is>
          <t>23.1x</t>
        </is>
      </c>
      <c r="F73" s="763" t="inlineStr">
        <is>
          <t>33.5%</t>
        </is>
      </c>
      <c r="G73" s="763" t="inlineStr">
        <is>
          <t>22.0%</t>
        </is>
      </c>
      <c r="H73" s="763" t="inlineStr">
        <is>
          <t>38.1%</t>
        </is>
      </c>
      <c r="I73" s="763" t="inlineStr">
        <is>
          <t>77</t>
        </is>
      </c>
      <c r="J73" s="787" t="inlineStr">
        <is>
          <t>—</t>
        </is>
      </c>
    </row>
    <row r="74" ht="17" customHeight="1">
      <c r="B74" s="756" t="n">
        <v>2</v>
      </c>
      <c r="C74" s="756" t="inlineStr">
        <is>
          <t>NVIDIA</t>
        </is>
      </c>
      <c r="D74" s="764" t="inlineStr">
        <is>
          <t>31.5x</t>
        </is>
      </c>
      <c r="E74" s="764" t="inlineStr">
        <is>
          <t>38.4x</t>
        </is>
      </c>
      <c r="F74" s="764" t="inlineStr">
        <is>
          <t>91.2%</t>
        </is>
      </c>
      <c r="G74" s="764" t="inlineStr">
        <is>
          <t>95.1%</t>
        </is>
      </c>
      <c r="H74" s="764" t="inlineStr">
        <is>
          <t>54.6%</t>
        </is>
      </c>
      <c r="I74" s="764" t="inlineStr">
        <is>
          <t>62</t>
        </is>
      </c>
      <c r="J74" s="788" t="inlineStr">
        <is>
          <t>—</t>
        </is>
      </c>
    </row>
    <row r="75" ht="17" customHeight="1">
      <c r="B75" s="758" t="n">
        <v>3</v>
      </c>
      <c r="C75" s="758" t="inlineStr">
        <is>
          <t>Alphabet</t>
        </is>
      </c>
      <c r="D75" s="763" t="inlineStr">
        <is>
          <t>18.1x</t>
        </is>
      </c>
      <c r="E75" s="763" t="inlineStr">
        <is>
          <t>22.8x</t>
        </is>
      </c>
      <c r="F75" s="763" t="inlineStr">
        <is>
          <t>23.8%</t>
        </is>
      </c>
      <c r="G75" s="763" t="inlineStr">
        <is>
          <t>8.6%</t>
        </is>
      </c>
      <c r="H75" s="763" t="inlineStr">
        <is>
          <t>27.2%</t>
        </is>
      </c>
      <c r="I75" s="763" t="inlineStr">
        <is>
          <t>62</t>
        </is>
      </c>
      <c r="J75" s="787" t="inlineStr">
        <is>
          <t>—</t>
        </is>
      </c>
    </row>
    <row r="76" ht="17" customHeight="1">
      <c r="B76" s="756" t="n">
        <v>4</v>
      </c>
      <c r="C76" s="756" t="inlineStr">
        <is>
          <t>Microsoft</t>
        </is>
      </c>
      <c r="D76" s="764" t="inlineStr">
        <is>
          <t>26.4x</t>
        </is>
      </c>
      <c r="E76" s="764" t="inlineStr">
        <is>
          <t>34.2x</t>
        </is>
      </c>
      <c r="F76" s="764" t="inlineStr">
        <is>
          <t>28.5%</t>
        </is>
      </c>
      <c r="G76" s="764" t="inlineStr">
        <is>
          <t>15.5%</t>
        </is>
      </c>
      <c r="H76" s="764" t="inlineStr">
        <is>
          <t>44.5%</t>
        </is>
      </c>
      <c r="I76" s="764" t="inlineStr">
        <is>
          <t>58</t>
        </is>
      </c>
      <c r="J76" s="788" t="inlineStr">
        <is>
          <t>—</t>
        </is>
      </c>
    </row>
    <row r="77" ht="17" customHeight="1">
      <c r="B77" s="789" t="n">
        <v>5</v>
      </c>
      <c r="C77" s="789" t="inlineStr">
        <is>
          <t>Apple Inc.</t>
        </is>
      </c>
      <c r="D77" s="790" t="inlineStr">
        <is>
          <t>24.3x</t>
        </is>
      </c>
      <c r="E77" s="790" t="inlineStr">
        <is>
          <t>34.6x</t>
        </is>
      </c>
      <c r="F77" s="790" t="inlineStr">
        <is>
          <t>56.2%</t>
        </is>
      </c>
      <c r="G77" s="790" t="inlineStr">
        <is>
          <t>2.0%</t>
        </is>
      </c>
      <c r="H77" s="790" t="inlineStr">
        <is>
          <t>27.8%</t>
        </is>
      </c>
      <c r="I77" s="790" t="inlineStr">
        <is>
          <t>46</t>
        </is>
      </c>
      <c r="J77" s="790" t="inlineStr">
        <is>
          <t>-1.6%</t>
        </is>
      </c>
    </row>
    <row r="78" ht="17" customHeight="1">
      <c r="B78" s="756" t="n">
        <v>6</v>
      </c>
      <c r="C78" s="756" t="inlineStr">
        <is>
          <t>Amazon</t>
        </is>
      </c>
      <c r="D78" s="764" t="inlineStr">
        <is>
          <t>19.8x</t>
        </is>
      </c>
      <c r="E78" s="764" t="inlineStr">
        <is>
          <t>41.6x</t>
        </is>
      </c>
      <c r="F78" s="764" t="inlineStr">
        <is>
          <t>12.8%</t>
        </is>
      </c>
      <c r="G78" s="764" t="inlineStr">
        <is>
          <t>12.1%</t>
        </is>
      </c>
      <c r="H78" s="764" t="inlineStr">
        <is>
          <t>8.9%</t>
        </is>
      </c>
      <c r="I78" s="764" t="inlineStr">
        <is>
          <t>43</t>
        </is>
      </c>
      <c r="J78" s="788" t="inlineStr">
        <is>
          <t>—</t>
        </is>
      </c>
    </row>
    <row r="80" ht="3" customHeight="1">
      <c r="B80" s="4" t="n"/>
      <c r="C80" s="4" t="n"/>
      <c r="D80" s="4" t="n"/>
      <c r="E80" s="4" t="n"/>
      <c r="F80" s="4" t="n"/>
      <c r="G80" s="4" t="n"/>
      <c r="H80" s="4" t="n"/>
      <c r="I80" s="4" t="n"/>
      <c r="J80" s="4" t="n"/>
    </row>
    <row r="81" ht="4" customHeight="1">
      <c r="B81" s="5" t="n"/>
      <c r="C81" s="5" t="n"/>
      <c r="D81" s="5" t="n"/>
      <c r="E81" s="5" t="n"/>
      <c r="F81" s="5" t="n"/>
      <c r="G81" s="5" t="n"/>
      <c r="H81" s="5" t="n"/>
      <c r="I81" s="5" t="n"/>
      <c r="J81" s="5" t="n"/>
    </row>
    <row r="82" ht="20" customHeight="1">
      <c r="B82" s="742" t="inlineStr">
        <is>
          <t xml:space="preserve">  CAPITAL RETURNS  &amp;  SHAREHOLDER YIELD</t>
        </is>
      </c>
    </row>
    <row r="83" ht="16" customHeight="1">
      <c r="B83" s="756" t="inlineStr">
        <is>
          <t>Free Cash Flow</t>
        </is>
      </c>
      <c r="C83" s="757" t="inlineStr">
        <is>
          <t>USD108.8B</t>
        </is>
      </c>
    </row>
    <row r="84" ht="16" customHeight="1">
      <c r="B84" s="758" t="inlineStr">
        <is>
          <t>Total Dividends</t>
        </is>
      </c>
      <c r="C84" s="759" t="inlineStr">
        <is>
          <t>USD14.6B</t>
        </is>
      </c>
    </row>
    <row r="85" ht="16" customHeight="1">
      <c r="B85" s="756" t="inlineStr">
        <is>
          <t>Est. Buybacks</t>
        </is>
      </c>
      <c r="C85" s="757" t="inlineStr">
        <is>
          <t>USD94.2B</t>
        </is>
      </c>
    </row>
    <row r="86" ht="16" customHeight="1">
      <c r="B86" s="758" t="inlineStr">
        <is>
          <t>Dividend Yield</t>
        </is>
      </c>
      <c r="C86" s="759" t="inlineStr">
        <is>
          <t>0.45%</t>
        </is>
      </c>
    </row>
    <row r="87" ht="16" customHeight="1">
      <c r="B87" s="756" t="inlineStr">
        <is>
          <t>Buyback Yield</t>
        </is>
      </c>
      <c r="C87" s="757" t="inlineStr">
        <is>
          <t>2.91%</t>
        </is>
      </c>
    </row>
    <row r="88" ht="16" customHeight="1">
      <c r="B88" s="767" t="inlineStr">
        <is>
          <t>Total Shareholder Yield</t>
        </is>
      </c>
      <c r="C88" s="54" t="inlineStr">
        <is>
          <t>3.36%</t>
        </is>
      </c>
    </row>
    <row r="89" ht="16" customHeight="1">
      <c r="B89" s="756" t="inlineStr">
        <is>
          <t>FCF Payout Ratio</t>
        </is>
      </c>
      <c r="C89" s="757" t="inlineStr">
        <is>
          <t>100.0%</t>
        </is>
      </c>
    </row>
    <row r="90" ht="16" customHeight="1">
      <c r="B90" s="767" t="inlineStr">
        <is>
          <t>Sustainability</t>
        </is>
      </c>
      <c r="C90" s="755" t="inlineStr">
        <is>
          <t>STRETCHED</t>
        </is>
      </c>
    </row>
    <row r="92" ht="3" customHeight="1">
      <c r="B92" s="4" t="n"/>
      <c r="C92" s="4" t="n"/>
      <c r="D92" s="4" t="n"/>
      <c r="E92" s="4" t="n"/>
      <c r="F92" s="4" t="n"/>
      <c r="G92" s="4" t="n"/>
      <c r="H92" s="4" t="n"/>
      <c r="I92" s="4" t="n"/>
      <c r="J92" s="4" t="n"/>
    </row>
    <row r="93" ht="4" customHeight="1">
      <c r="B93" s="5" t="n"/>
      <c r="C93" s="5" t="n"/>
      <c r="D93" s="5" t="n"/>
      <c r="E93" s="5" t="n"/>
      <c r="F93" s="5" t="n"/>
      <c r="G93" s="5" t="n"/>
      <c r="H93" s="5" t="n"/>
      <c r="I93" s="5" t="n"/>
      <c r="J93" s="5" t="n"/>
    </row>
    <row r="94" ht="20" customHeight="1">
      <c r="B94" s="742" t="inlineStr">
        <is>
          <t xml:space="preserve">  HISTORICAL VALUATION BANDS  —  Overall: FAIR VALUE</t>
        </is>
      </c>
    </row>
    <row r="95" ht="16" customHeight="1">
      <c r="B95" s="761" t="inlineStr">
        <is>
          <t>Metric</t>
        </is>
      </c>
      <c r="C95" s="762" t="inlineStr">
        <is>
          <t>Current</t>
        </is>
      </c>
      <c r="D95" s="762" t="inlineStr">
        <is>
          <t>5yr Low</t>
        </is>
      </c>
      <c r="E95" s="762" t="inlineStr">
        <is>
          <t>5yr Avg</t>
        </is>
      </c>
      <c r="F95" s="762" t="inlineStr">
        <is>
          <t>5yr High</t>
        </is>
      </c>
      <c r="G95" s="762" t="inlineStr">
        <is>
          <t>Percentile</t>
        </is>
      </c>
      <c r="H95" s="762" t="inlineStr">
        <is>
          <t>Signal</t>
        </is>
      </c>
    </row>
    <row r="96" ht="17" customHeight="1">
      <c r="B96" s="767" t="inlineStr">
        <is>
          <t>EV/EBITDA</t>
        </is>
      </c>
      <c r="C96" s="791" t="inlineStr">
        <is>
          <t>24.3</t>
        </is>
      </c>
      <c r="D96" s="792" t="inlineStr">
        <is>
          <t>15.0</t>
        </is>
      </c>
      <c r="E96" s="792" t="inlineStr">
        <is>
          <t>22.0</t>
        </is>
      </c>
      <c r="F96" s="792" t="inlineStr">
        <is>
          <t>35.0</t>
        </is>
      </c>
      <c r="G96" s="793" t="inlineStr">
        <is>
          <t>47th pct  ████░░░░░░</t>
        </is>
      </c>
      <c r="H96" s="794" t="inlineStr">
        <is>
          <t>FAIR</t>
        </is>
      </c>
    </row>
    <row r="97" ht="17" customHeight="1">
      <c r="B97" s="749" t="inlineStr">
        <is>
          <t>P/E</t>
        </is>
      </c>
      <c r="C97" s="795" t="inlineStr">
        <is>
          <t>34.6</t>
        </is>
      </c>
      <c r="D97" s="796" t="inlineStr">
        <is>
          <t>18.0</t>
        </is>
      </c>
      <c r="E97" s="796" t="inlineStr">
        <is>
          <t>27.0</t>
        </is>
      </c>
      <c r="F97" s="796" t="inlineStr">
        <is>
          <t>40.0</t>
        </is>
      </c>
      <c r="G97" s="797" t="inlineStr">
        <is>
          <t>75th pct  ███████░░░</t>
        </is>
      </c>
      <c r="H97" s="798" t="inlineStr">
        <is>
          <t>EXPENSIVE</t>
        </is>
      </c>
    </row>
    <row r="98" ht="17" customHeight="1">
      <c r="B98" s="767" t="inlineStr">
        <is>
          <t>EV/Revenue</t>
        </is>
      </c>
      <c r="C98" s="791" t="inlineStr">
        <is>
          <t>8.4</t>
        </is>
      </c>
      <c r="D98" s="792" t="inlineStr">
        <is>
          <t>4.0</t>
        </is>
      </c>
      <c r="E98" s="792" t="inlineStr">
        <is>
          <t>7.5</t>
        </is>
      </c>
      <c r="F98" s="792" t="inlineStr">
        <is>
          <t>14.0</t>
        </is>
      </c>
      <c r="G98" s="793" t="inlineStr">
        <is>
          <t>44th pct  ████░░░░░░</t>
        </is>
      </c>
      <c r="H98" s="794" t="inlineStr">
        <is>
          <t>FAIR</t>
        </is>
      </c>
    </row>
    <row r="99" ht="17" customHeight="1">
      <c r="B99" s="749" t="inlineStr">
        <is>
          <t>FCF Yield %</t>
        </is>
      </c>
      <c r="C99" s="795" t="inlineStr">
        <is>
          <t>3.4</t>
        </is>
      </c>
      <c r="D99" s="796" t="inlineStr">
        <is>
          <t>1.0</t>
        </is>
      </c>
      <c r="E99" s="796" t="inlineStr">
        <is>
          <t>3.0</t>
        </is>
      </c>
      <c r="F99" s="796" t="inlineStr">
        <is>
          <t>6.0</t>
        </is>
      </c>
      <c r="G99" s="799" t="inlineStr">
        <is>
          <t>47th pct  ████░░░░░░</t>
        </is>
      </c>
      <c r="H99" s="800" t="inlineStr">
        <is>
          <t>FAIR</t>
        </is>
      </c>
    </row>
  </sheetData>
  <mergeCells count="45">
    <mergeCell ref="F64:J64"/>
    <mergeCell ref="B11:J11"/>
    <mergeCell ref="E13:G13"/>
    <mergeCell ref="B7:C7"/>
    <mergeCell ref="E19:G19"/>
    <mergeCell ref="F65:J65"/>
    <mergeCell ref="B60:J60"/>
    <mergeCell ref="B3:F3"/>
    <mergeCell ref="F63:J63"/>
    <mergeCell ref="E40:G40"/>
    <mergeCell ref="F6:G6"/>
    <mergeCell ref="E15:G15"/>
    <mergeCell ref="B38:J38"/>
    <mergeCell ref="F7:G7"/>
    <mergeCell ref="B82:J82"/>
    <mergeCell ref="D6:E6"/>
    <mergeCell ref="H6:I6"/>
    <mergeCell ref="E45:G45"/>
    <mergeCell ref="B24:J24"/>
    <mergeCell ref="E16:G16"/>
    <mergeCell ref="F66:J66"/>
    <mergeCell ref="B20:G20"/>
    <mergeCell ref="F62:J62"/>
    <mergeCell ref="E41:G41"/>
    <mergeCell ref="D7:E7"/>
    <mergeCell ref="H7:I7"/>
    <mergeCell ref="B50:J50"/>
    <mergeCell ref="J6"/>
    <mergeCell ref="B94:J94"/>
    <mergeCell ref="E12:G12"/>
    <mergeCell ref="E18:G18"/>
    <mergeCell ref="E43:G43"/>
    <mergeCell ref="B6:C6"/>
    <mergeCell ref="E42:G42"/>
    <mergeCell ref="F61:J61"/>
    <mergeCell ref="F67:J67"/>
    <mergeCell ref="B46:G46"/>
    <mergeCell ref="G3:J3"/>
    <mergeCell ref="E14:G14"/>
    <mergeCell ref="E17:G17"/>
    <mergeCell ref="B71:J71"/>
    <mergeCell ref="J7"/>
    <mergeCell ref="B56:G56"/>
    <mergeCell ref="E44:G44"/>
    <mergeCell ref="B2:J2"/>
  </mergeCells>
  <conditionalFormatting sqref="E2:E200">
    <cfRule type="cellIs" priority="1" operator="equal" dxfId="0">
      <formula>"STRONG"</formula>
    </cfRule>
    <cfRule type="cellIs" priority="2" operator="equal" dxfId="1">
      <formula>"MODERATE"</formula>
    </cfRule>
    <cfRule type="cellIs" priority="3" operator="equal" dxfId="0">
      <formula>"WEAK"</formula>
    </cfRule>
  </conditionalFormatting>
  <conditionalFormatting sqref="H2:H200">
    <cfRule type="cellIs" priority="4" operator="equal" dxfId="0">
      <formula>"CHEAP"</formula>
    </cfRule>
    <cfRule type="cellIs" priority="5" operator="equal" dxfId="1">
      <formula>"FAIR VALUE"</formula>
    </cfRule>
    <cfRule type="cellIs" priority="6" operator="equal" dxfId="0">
      <formula>"EXPENSIVE"</formula>
    </cfRule>
  </conditionalFormatting>
  <conditionalFormatting sqref="C2:C200">
    <cfRule type="expression" priority="7" dxfId="0">
      <formula>ISNUMBER(FIND("STRONG",C2))</formula>
    </cfRule>
    <cfRule type="expression" priority="8" dxfId="0">
      <formula>ISNUMBER(FIND("WEAK",C2))</formula>
    </cfRule>
    <cfRule type="expression" priority="9" dxfId="0">
      <formula>ISNUMBER(FIND("BEAR",C2))</formula>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78.xml><?xml version="1.0" encoding="utf-8"?>
<worksheet xmlns="http://schemas.openxmlformats.org/spreadsheetml/2006/main">
  <sheetPr>
    <tabColor rgb="000071E3"/>
    <outlinePr summaryBelow="1" summaryRight="1"/>
    <pageSetUpPr fitToPage="1"/>
  </sheetPr>
  <dimension ref="A1:I39"/>
  <sheetViews>
    <sheetView showGridLines="0" workbookViewId="0">
      <pane ySplit="4" topLeftCell="A5" activePane="bottomLeft" state="frozen"/>
      <selection pane="bottomLeft" activeCell="A1" sqref="A1"/>
    </sheetView>
  </sheetViews>
  <sheetFormatPr baseColWidth="8" defaultRowHeight="15"/>
  <cols>
    <col width="1.5" customWidth="1" min="1" max="1"/>
    <col width="26" customWidth="1" min="2" max="2"/>
    <col width="14" customWidth="1" min="3" max="3"/>
    <col width="14" customWidth="1" min="4" max="4"/>
    <col width="14" customWidth="1" min="5" max="5"/>
    <col width="14" customWidth="1" min="6" max="6"/>
    <col width="14" customWidth="1" min="7" max="7"/>
    <col width="14" customWidth="1" min="8" max="8"/>
    <col width="1.5" customWidth="1" min="9" max="9"/>
  </cols>
  <sheetData>
    <row r="1" ht="6" customHeight="1"/>
    <row r="2" ht="38" customHeight="1">
      <c r="B2" s="35" t="inlineStr">
        <is>
          <t xml:space="preserve">  APPLE INC.  —  RISK &amp; DRAWDOWN ANALYSIS</t>
        </is>
      </c>
    </row>
    <row r="3" ht="14" customHeight="1">
      <c r="B3" s="801" t="inlineStr">
        <is>
          <t xml:space="preserve">  Sortino · Calmar · Historical Drawdowns · VaR · Liquidity</t>
        </is>
      </c>
      <c r="F3" s="802" t="inlineStr">
        <is>
          <t xml:space="preserve">  July 11, 2026</t>
        </is>
      </c>
    </row>
    <row r="4" ht="4" customHeight="1">
      <c r="B4" s="4" t="n"/>
      <c r="C4" s="4" t="n"/>
      <c r="D4" s="4" t="n"/>
      <c r="E4" s="4" t="n"/>
      <c r="F4" s="4" t="n"/>
      <c r="G4" s="4" t="n"/>
      <c r="H4" s="4" t="n"/>
    </row>
    <row r="6" ht="26" customHeight="1">
      <c r="B6" s="803" t="inlineStr">
        <is>
          <t>SORTINO RATIO</t>
        </is>
      </c>
      <c r="D6" s="803" t="inlineStr">
        <is>
          <t>CALMAR RATIO</t>
        </is>
      </c>
      <c r="E6" s="804" t="inlineStr">
        <is>
          <t>VaR 95% (1-mo)</t>
        </is>
      </c>
      <c r="F6" s="804" t="inlineStr">
        <is>
          <t>VaR 99% (1-mo)</t>
        </is>
      </c>
      <c r="G6" s="803" t="inlineStr">
        <is>
          <t>WORST DRAWDOWN</t>
        </is>
      </c>
      <c r="H6" s="804" t="inlineStr">
        <is>
          <t>DOWNSIDE DEV ANN</t>
        </is>
      </c>
    </row>
    <row r="7" ht="22" customHeight="1">
      <c r="B7" s="805" t="inlineStr">
        <is>
          <t>-0.65</t>
        </is>
      </c>
      <c r="D7" s="805" t="inlineStr">
        <is>
          <t>-0.33</t>
        </is>
      </c>
      <c r="E7" s="806" t="inlineStr">
        <is>
          <t>USD28.32  (13.3%)</t>
        </is>
      </c>
      <c r="F7" s="806" t="inlineStr">
        <is>
          <t>USD40.05  (18.8%)</t>
        </is>
      </c>
      <c r="G7" s="805" t="inlineStr">
        <is>
          <t>-70.7%</t>
        </is>
      </c>
      <c r="H7" s="806" t="inlineStr">
        <is>
          <t>43.1%</t>
        </is>
      </c>
    </row>
    <row r="8" ht="6" customHeight="1"/>
    <row r="10" ht="20" customHeight="1">
      <c r="B10" s="47" t="inlineStr">
        <is>
          <t xml:space="preserve">  RISK-ADJUSTED RETURN METRICS</t>
        </is>
      </c>
    </row>
    <row r="11" ht="16" customHeight="1">
      <c r="B11" s="761" t="inlineStr">
        <is>
          <t>Metric</t>
        </is>
      </c>
      <c r="D11" s="761" t="inlineStr">
        <is>
          <t>Value</t>
        </is>
      </c>
      <c r="E11" s="761" t="inlineStr">
        <is>
          <t>What it means</t>
        </is>
      </c>
      <c r="F11" s="781" t="n"/>
      <c r="G11" s="781" t="n"/>
      <c r="H11" s="781" t="n"/>
    </row>
    <row r="12" ht="17" customHeight="1">
      <c r="B12" s="756" t="inlineStr">
        <is>
          <t>Annualised Expected Return</t>
        </is>
      </c>
      <c r="D12" s="51" t="inlineStr">
        <is>
          <t>-23.53%</t>
        </is>
      </c>
      <c r="E12" s="48" t="inlineStr">
        <is>
          <t>Prob-weighted bear/base/bull return</t>
        </is>
      </c>
      <c r="F12" s="746" t="n"/>
      <c r="G12" s="746" t="n"/>
      <c r="H12" s="746" t="n"/>
    </row>
    <row r="13" ht="17" customHeight="1">
      <c r="B13" s="758" t="inlineStr">
        <is>
          <t>Annual Volatility</t>
        </is>
      </c>
      <c r="D13" s="54" t="inlineStr">
        <is>
          <t>28.00%</t>
        </is>
      </c>
      <c r="E13" s="19" t="inlineStr">
        <is>
          <t>Implied annualised vol from options</t>
        </is>
      </c>
      <c r="F13" s="746" t="n"/>
      <c r="G13" s="746" t="n"/>
      <c r="H13" s="746" t="n"/>
    </row>
    <row r="14" ht="17" customHeight="1">
      <c r="B14" s="756" t="inlineStr">
        <is>
          <t>Downside Deviation</t>
        </is>
      </c>
      <c r="D14" s="51" t="inlineStr">
        <is>
          <t>43.14%</t>
        </is>
      </c>
      <c r="E14" s="48" t="inlineStr">
        <is>
          <t>Volatility of negative returns only (Sortino denominator)</t>
        </is>
      </c>
      <c r="F14" s="746" t="n"/>
      <c r="G14" s="746" t="n"/>
      <c r="H14" s="746" t="n"/>
    </row>
    <row r="15" ht="17" customHeight="1">
      <c r="B15" s="758" t="inlineStr">
        <is>
          <t>Risk-Free Rate</t>
        </is>
      </c>
      <c r="D15" s="54" t="inlineStr">
        <is>
          <t>4.50%</t>
        </is>
      </c>
      <c r="E15" s="19" t="inlineStr">
        <is>
          <t>10-year Treasury yield</t>
        </is>
      </c>
      <c r="F15" s="746" t="n"/>
      <c r="G15" s="746" t="n"/>
      <c r="H15" s="746" t="n"/>
    </row>
    <row r="16" ht="17" customHeight="1">
      <c r="B16" s="756" t="inlineStr">
        <is>
          <t>Sortino Ratio</t>
        </is>
      </c>
      <c r="D16" s="51" t="inlineStr">
        <is>
          <t>-0.65x  (POOR)</t>
        </is>
      </c>
      <c r="E16" s="48" t="inlineStr">
        <is>
          <t>Excess return per unit of downside risk. &gt;1.0 = good, &gt;2.0 = excellent</t>
        </is>
      </c>
      <c r="F16" s="746" t="n"/>
      <c r="G16" s="746" t="n"/>
      <c r="H16" s="746" t="n"/>
    </row>
    <row r="17" ht="17" customHeight="1">
      <c r="B17" s="758" t="inlineStr">
        <is>
          <t>Calmar Ratio</t>
        </is>
      </c>
      <c r="D17" s="54" t="inlineStr">
        <is>
          <t>-0.33x  (POOR)</t>
        </is>
      </c>
      <c r="E17" s="19" t="inlineStr">
        <is>
          <t>Annual return / max drawdown. &gt;1.0 = excellent. Penalises deep losses.</t>
        </is>
      </c>
      <c r="F17" s="746" t="n"/>
      <c r="G17" s="746" t="n"/>
      <c r="H17" s="746" t="n"/>
    </row>
    <row r="18" ht="17" customHeight="1">
      <c r="B18" s="756" t="inlineStr">
        <is>
          <t>Beta</t>
        </is>
      </c>
      <c r="D18" s="51" t="inlineStr">
        <is>
          <t>1.24</t>
        </is>
      </c>
      <c r="E18" s="48" t="inlineStr">
        <is>
          <t>Market beta — sensitivity to S&amp;P 500 moves</t>
        </is>
      </c>
      <c r="F18" s="746" t="n"/>
      <c r="G18" s="746" t="n"/>
      <c r="H18" s="746" t="n"/>
    </row>
    <row r="20" ht="20" customHeight="1">
      <c r="B20" s="47" t="inlineStr">
        <is>
          <t xml:space="preserve">  HISTORICAL DRAWDOWN SCENARIOS  (beta-adjusted)</t>
        </is>
      </c>
    </row>
    <row r="21" ht="16" customHeight="1">
      <c r="B21" s="761" t="inlineStr">
        <is>
          <t>Market Event</t>
        </is>
      </c>
      <c r="C21" s="762" t="inlineStr">
        <is>
          <t>Peak→Trough</t>
        </is>
      </c>
      <c r="D21" s="762" t="inlineStr">
        <is>
          <t>Days Down</t>
        </is>
      </c>
      <c r="E21" s="762" t="inlineStr">
        <is>
          <t>Beta-Adj DD</t>
        </is>
      </c>
      <c r="F21" s="762" t="inlineStr">
        <is>
          <t>Days to Recover</t>
        </is>
      </c>
      <c r="G21" s="762" t="inlineStr">
        <is>
          <t>Yrs to Recover</t>
        </is>
      </c>
      <c r="H21" s="762" t="inlineStr">
        <is>
          <t>Loss on $100K</t>
        </is>
      </c>
    </row>
    <row r="22" ht="17" customHeight="1">
      <c r="B22" s="758" t="inlineStr">
        <is>
          <t>COVID Crash (Feb–Mar 2020)</t>
        </is>
      </c>
      <c r="C22" s="807" t="inlineStr">
        <is>
          <t>-32.0%</t>
        </is>
      </c>
      <c r="D22" s="763" t="n">
        <v>33</v>
      </c>
      <c r="E22" s="808" t="inlineStr">
        <is>
          <t>-39.7%</t>
        </is>
      </c>
      <c r="F22" s="763" t="n">
        <v>148</v>
      </c>
      <c r="G22" s="763" t="inlineStr">
        <is>
          <t>0.4 yrs</t>
        </is>
      </c>
      <c r="H22" s="807" t="inlineStr">
        <is>
          <t>$39,680</t>
        </is>
      </c>
    </row>
    <row r="23" ht="17" customHeight="1">
      <c r="B23" s="756" t="inlineStr">
        <is>
          <t>Tech Selloff (Nov 2021–Oct 2022)</t>
        </is>
      </c>
      <c r="C23" s="809" t="inlineStr">
        <is>
          <t>-28.0%</t>
        </is>
      </c>
      <c r="D23" s="764" t="n">
        <v>262</v>
      </c>
      <c r="E23" s="798" t="inlineStr">
        <is>
          <t>-34.7%</t>
        </is>
      </c>
      <c r="F23" s="764" t="n">
        <v>390</v>
      </c>
      <c r="G23" s="764" t="inlineStr">
        <is>
          <t>1.1 yrs</t>
        </is>
      </c>
      <c r="H23" s="809" t="inlineStr">
        <is>
          <t>$34,720</t>
        </is>
      </c>
    </row>
    <row r="24" ht="17" customHeight="1">
      <c r="B24" s="758" t="inlineStr">
        <is>
          <t>GFC (Oct 2007–Mar 2009)</t>
        </is>
      </c>
      <c r="C24" s="807" t="inlineStr">
        <is>
          <t>-57.0%</t>
        </is>
      </c>
      <c r="D24" s="763" t="n">
        <v>517</v>
      </c>
      <c r="E24" s="808" t="inlineStr">
        <is>
          <t>-70.7%</t>
        </is>
      </c>
      <c r="F24" s="763" t="n">
        <v>1491</v>
      </c>
      <c r="G24" s="763" t="inlineStr">
        <is>
          <t>4.1 yrs</t>
        </is>
      </c>
      <c r="H24" s="807" t="inlineStr">
        <is>
          <t>$70,680</t>
        </is>
      </c>
    </row>
    <row r="25" ht="17" customHeight="1">
      <c r="B25" s="756" t="inlineStr">
        <is>
          <t>Dot-com Bust (Mar 2000–Oct 2002)</t>
        </is>
      </c>
      <c r="C25" s="809" t="inlineStr">
        <is>
          <t>-49.0%</t>
        </is>
      </c>
      <c r="D25" s="764" t="n">
        <v>929</v>
      </c>
      <c r="E25" s="798" t="inlineStr">
        <is>
          <t>-60.8%</t>
        </is>
      </c>
      <c r="F25" s="764" t="n">
        <v>2554</v>
      </c>
      <c r="G25" s="764" t="inlineStr">
        <is>
          <t>7.0 yrs</t>
        </is>
      </c>
      <c r="H25" s="809" t="inlineStr">
        <is>
          <t>$60,760</t>
        </is>
      </c>
    </row>
    <row r="26" ht="17" customHeight="1">
      <c r="B26" s="758" t="inlineStr">
        <is>
          <t>1987 Black Monday</t>
        </is>
      </c>
      <c r="C26" s="807" t="inlineStr">
        <is>
          <t>-34.0%</t>
        </is>
      </c>
      <c r="D26" s="763" t="n">
        <v>1</v>
      </c>
      <c r="E26" s="808" t="inlineStr">
        <is>
          <t>-42.2%</t>
        </is>
      </c>
      <c r="F26" s="763" t="n">
        <v>507</v>
      </c>
      <c r="G26" s="763" t="inlineStr">
        <is>
          <t>1.4 yrs</t>
        </is>
      </c>
      <c r="H26" s="807" t="inlineStr">
        <is>
          <t>$42,160</t>
        </is>
      </c>
    </row>
    <row r="28" ht="20" customHeight="1">
      <c r="B28" s="47" t="inlineStr">
        <is>
          <t xml:space="preserve">  VALUE AT RISK  (parametric, 1-month horizon)</t>
        </is>
      </c>
    </row>
    <row r="29" ht="16" customHeight="1">
      <c r="B29" s="761" t="inlineStr">
        <is>
          <t>Confidence Level</t>
        </is>
      </c>
      <c r="C29" s="762" t="inlineStr">
        <is>
          <t>Max Loss ($)</t>
        </is>
      </c>
      <c r="D29" s="762" t="inlineStr">
        <is>
          <t>Max Loss (%)</t>
        </is>
      </c>
      <c r="E29" s="762" t="inlineStr">
        <is>
          <t>Interpretation</t>
        </is>
      </c>
      <c r="F29" s="781" t="n"/>
      <c r="G29" s="781" t="n"/>
      <c r="H29" s="781" t="n"/>
    </row>
    <row r="30" ht="17" customHeight="1">
      <c r="B30" s="756" t="inlineStr">
        <is>
          <t>95% (1-in-20 months)</t>
        </is>
      </c>
      <c r="C30" s="753" t="inlineStr">
        <is>
          <t>USD28.32</t>
        </is>
      </c>
      <c r="D30" s="771" t="inlineStr">
        <is>
          <t>13.30%</t>
        </is>
      </c>
      <c r="E30" s="48" t="inlineStr">
        <is>
          <t>95% chance monthly loss won't exceed this</t>
        </is>
      </c>
      <c r="F30" s="746" t="n"/>
      <c r="G30" s="746" t="n"/>
      <c r="H30" s="746" t="n"/>
    </row>
    <row r="31" ht="17" customHeight="1">
      <c r="B31" s="756" t="inlineStr">
        <is>
          <t>99% (1-in-100 months)</t>
        </is>
      </c>
      <c r="C31" s="753" t="inlineStr">
        <is>
          <t>USD40.05</t>
        </is>
      </c>
      <c r="D31" s="771" t="inlineStr">
        <is>
          <t>18.80%</t>
        </is>
      </c>
      <c r="E31" s="48" t="inlineStr">
        <is>
          <t>99% confidence — use for stress scenario planning</t>
        </is>
      </c>
      <c r="F31" s="746" t="n"/>
      <c r="G31" s="746" t="n"/>
      <c r="H31" s="746" t="n"/>
    </row>
    <row r="33" ht="20" customHeight="1">
      <c r="B33" s="47" t="inlineStr">
        <is>
          <t xml:space="preserve">  LIQUIDITY ANALYSIS  —  Market impact cost by position size</t>
        </is>
      </c>
    </row>
    <row r="34" ht="16" customHeight="1">
      <c r="B34" s="761" t="inlineStr">
        <is>
          <t>Position Size</t>
        </is>
      </c>
      <c r="C34" s="762" t="inlineStr">
        <is>
          <t>Shares</t>
        </is>
      </c>
      <c r="D34" s="762" t="inlineStr">
        <is>
          <t>Days to Exit</t>
        </is>
      </c>
      <c r="E34" s="762" t="inlineStr">
        <is>
          <t>Impact (bps)</t>
        </is>
      </c>
      <c r="F34" s="762" t="inlineStr">
        <is>
          <t>Spread (bps)</t>
        </is>
      </c>
      <c r="G34" s="762" t="inlineStr">
        <is>
          <t>Total Cost (bps)</t>
        </is>
      </c>
      <c r="H34" s="762" t="inlineStr">
        <is>
          <t>Total Cost ($)</t>
        </is>
      </c>
    </row>
    <row r="35" ht="17" customHeight="1">
      <c r="B35" s="767" t="inlineStr">
        <is>
          <t>$50,000</t>
        </is>
      </c>
      <c r="C35" s="763" t="inlineStr">
        <is>
          <t>235</t>
        </is>
      </c>
      <c r="D35" s="763" t="inlineStr">
        <is>
          <t>0.0d</t>
        </is>
      </c>
      <c r="E35" s="763" t="inlineStr">
        <is>
          <t>0.0</t>
        </is>
      </c>
      <c r="F35" s="763" t="inlineStr">
        <is>
          <t>3.0</t>
        </is>
      </c>
      <c r="G35" s="794" t="inlineStr">
        <is>
          <t>3.0</t>
        </is>
      </c>
      <c r="H35" s="808" t="inlineStr">
        <is>
          <t>$15</t>
        </is>
      </c>
    </row>
    <row r="36" ht="17" customHeight="1">
      <c r="B36" s="749" t="inlineStr">
        <is>
          <t>$100,000</t>
        </is>
      </c>
      <c r="C36" s="764" t="inlineStr">
        <is>
          <t>469</t>
        </is>
      </c>
      <c r="D36" s="764" t="inlineStr">
        <is>
          <t>0.0d</t>
        </is>
      </c>
      <c r="E36" s="764" t="inlineStr">
        <is>
          <t>0.0</t>
        </is>
      </c>
      <c r="F36" s="764" t="inlineStr">
        <is>
          <t>3.0</t>
        </is>
      </c>
      <c r="G36" s="800" t="inlineStr">
        <is>
          <t>3.0</t>
        </is>
      </c>
      <c r="H36" s="798" t="inlineStr">
        <is>
          <t>$30</t>
        </is>
      </c>
    </row>
    <row r="37" ht="17" customHeight="1">
      <c r="B37" s="767" t="inlineStr">
        <is>
          <t>$250,000</t>
        </is>
      </c>
      <c r="C37" s="763" t="inlineStr">
        <is>
          <t>1,174</t>
        </is>
      </c>
      <c r="D37" s="763" t="inlineStr">
        <is>
          <t>0.0d</t>
        </is>
      </c>
      <c r="E37" s="763" t="inlineStr">
        <is>
          <t>0.0</t>
        </is>
      </c>
      <c r="F37" s="763" t="inlineStr">
        <is>
          <t>3.0</t>
        </is>
      </c>
      <c r="G37" s="794" t="inlineStr">
        <is>
          <t>3.0</t>
        </is>
      </c>
      <c r="H37" s="808" t="inlineStr">
        <is>
          <t>$75</t>
        </is>
      </c>
    </row>
    <row r="38" ht="17" customHeight="1">
      <c r="B38" s="749" t="inlineStr">
        <is>
          <t>$500,000</t>
        </is>
      </c>
      <c r="C38" s="764" t="inlineStr">
        <is>
          <t>2,347</t>
        </is>
      </c>
      <c r="D38" s="764" t="inlineStr">
        <is>
          <t>0.0d</t>
        </is>
      </c>
      <c r="E38" s="764" t="inlineStr">
        <is>
          <t>0.0</t>
        </is>
      </c>
      <c r="F38" s="764" t="inlineStr">
        <is>
          <t>3.0</t>
        </is>
      </c>
      <c r="G38" s="800" t="inlineStr">
        <is>
          <t>3.0</t>
        </is>
      </c>
      <c r="H38" s="798" t="inlineStr">
        <is>
          <t>$150</t>
        </is>
      </c>
    </row>
    <row r="39" ht="17" customHeight="1">
      <c r="B39" s="767" t="inlineStr">
        <is>
          <t>$1,000,000</t>
        </is>
      </c>
      <c r="C39" s="763" t="inlineStr">
        <is>
          <t>4,695</t>
        </is>
      </c>
      <c r="D39" s="763" t="inlineStr">
        <is>
          <t>0.0d</t>
        </is>
      </c>
      <c r="E39" s="763" t="inlineStr">
        <is>
          <t>0.0</t>
        </is>
      </c>
      <c r="F39" s="763" t="inlineStr">
        <is>
          <t>3.0</t>
        </is>
      </c>
      <c r="G39" s="794" t="inlineStr">
        <is>
          <t>3.0</t>
        </is>
      </c>
      <c r="H39" s="808" t="inlineStr">
        <is>
          <t>$300</t>
        </is>
      </c>
    </row>
  </sheetData>
  <mergeCells count="37">
    <mergeCell ref="B16:C16"/>
    <mergeCell ref="B7:C7"/>
    <mergeCell ref="E7"/>
    <mergeCell ref="E16:H16"/>
    <mergeCell ref="F3:H3"/>
    <mergeCell ref="B33:H33"/>
    <mergeCell ref="B18:C18"/>
    <mergeCell ref="B20:H20"/>
    <mergeCell ref="B12:C12"/>
    <mergeCell ref="E18:H18"/>
    <mergeCell ref="E12:H12"/>
    <mergeCell ref="B14:C14"/>
    <mergeCell ref="B3:E3"/>
    <mergeCell ref="B17:C17"/>
    <mergeCell ref="F6"/>
    <mergeCell ref="B13:C13"/>
    <mergeCell ref="E14:H14"/>
    <mergeCell ref="E17:H17"/>
    <mergeCell ref="F7"/>
    <mergeCell ref="H6"/>
    <mergeCell ref="D6"/>
    <mergeCell ref="G7"/>
    <mergeCell ref="B2:H2"/>
    <mergeCell ref="E29:H29"/>
    <mergeCell ref="G6"/>
    <mergeCell ref="E13:H13"/>
    <mergeCell ref="B6:C6"/>
    <mergeCell ref="B15:C15"/>
    <mergeCell ref="E31:H31"/>
    <mergeCell ref="D7"/>
    <mergeCell ref="E30:H30"/>
    <mergeCell ref="E6"/>
    <mergeCell ref="H7"/>
    <mergeCell ref="E15:H15"/>
    <mergeCell ref="B10:H10"/>
    <mergeCell ref="E11:H11"/>
    <mergeCell ref="B28:H28"/>
  </mergeCells>
  <conditionalFormatting sqref="D2:D200">
    <cfRule type="expression" priority="1" dxfId="0">
      <formula>ISNUMBER(FIND("EXCELLENT",D2))</formula>
    </cfRule>
    <cfRule type="expression" priority="2" dxfId="0">
      <formula>ISNUMBER(FIND("GOOD",D2))</formula>
    </cfRule>
    <cfRule type="expression" priority="3" dxfId="1">
      <formula>ISNUMBER(FIND("POOR",D2))</formula>
    </cfRule>
    <cfRule type="expression" priority="4" dxfId="0">
      <formula>ISNUMBER(FIND("WEAK",D2))</formula>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79.xml><?xml version="1.0" encoding="utf-8"?>
<worksheet xmlns="http://schemas.openxmlformats.org/spreadsheetml/2006/main">
  <sheetPr>
    <tabColor rgb="000071E3"/>
    <outlinePr summaryBelow="1" summaryRight="1"/>
    <pageSetUpPr fitToPage="1"/>
  </sheetPr>
  <dimension ref="A1:J34"/>
  <sheetViews>
    <sheetView showGridLines="0" workbookViewId="0">
      <pane ySplit="4" topLeftCell="A5" activePane="bottomLeft" state="frozen"/>
      <selection pane="bottomLeft" activeCell="A1" sqref="A1"/>
    </sheetView>
  </sheetViews>
  <sheetFormatPr baseColWidth="8" defaultRowHeight="15"/>
  <cols>
    <col width="1.5" customWidth="1" min="1" max="1"/>
    <col width="24" customWidth="1" min="2" max="2"/>
    <col width="14" customWidth="1" min="3" max="3"/>
    <col width="14" customWidth="1" min="4" max="4"/>
    <col width="14" customWidth="1" min="5" max="5"/>
    <col width="12" customWidth="1" min="6" max="6"/>
    <col width="12" customWidth="1" min="7" max="7"/>
    <col width="12" customWidth="1" min="8" max="8"/>
    <col width="12" customWidth="1" min="9" max="9"/>
    <col width="1.5" customWidth="1" min="10" max="10"/>
  </cols>
  <sheetData>
    <row r="1" ht="6" customHeight="1"/>
    <row r="2" ht="38" customHeight="1">
      <c r="B2" s="35" t="inlineStr">
        <is>
          <t xml:space="preserve">  APPLE INC.  —  TECHNICAL OVERLAY  &amp;  OPTIONS STRATEGY</t>
        </is>
      </c>
    </row>
    <row r="3" ht="14" customHeight="1">
      <c r="B3" s="801" t="inlineStr">
        <is>
          <t xml:space="preserve">  Trend · Support/Resistance · Sector Rotation · Options Strategies</t>
        </is>
      </c>
      <c r="G3" s="802" t="inlineStr">
        <is>
          <t xml:space="preserve">  July 11, 2026</t>
        </is>
      </c>
    </row>
    <row r="4" ht="4" customHeight="1">
      <c r="B4" s="4" t="n"/>
      <c r="C4" s="4" t="n"/>
      <c r="D4" s="4" t="n"/>
      <c r="E4" s="4" t="n"/>
      <c r="F4" s="4" t="n"/>
      <c r="G4" s="4" t="n"/>
      <c r="H4" s="4" t="n"/>
      <c r="I4" s="4" t="n"/>
    </row>
    <row r="6" ht="26" customHeight="1">
      <c r="B6" s="804" t="inlineStr">
        <is>
          <t>TECH VERDICT</t>
        </is>
      </c>
      <c r="D6" s="804" t="inlineStr">
        <is>
          <t>TREND SIGNAL</t>
        </is>
      </c>
      <c r="F6" s="804" t="inlineStr">
        <is>
          <t>RSI (14)</t>
        </is>
      </c>
      <c r="G6" s="810" t="inlineStr">
        <is>
          <t>50-DAY MA</t>
        </is>
      </c>
      <c r="H6" s="810" t="inlineStr">
        <is>
          <t>200-DAY MA</t>
        </is>
      </c>
      <c r="I6" s="804" t="inlineStr">
        <is>
          <t>IV REGIME</t>
        </is>
      </c>
      <c r="J6" s="804" t="inlineStr">
        <is>
          <t>TECH SCORE</t>
        </is>
      </c>
    </row>
    <row r="7" ht="22" customHeight="1">
      <c r="B7" s="811" t="inlineStr">
        <is>
          <t>HOLD</t>
        </is>
      </c>
      <c r="D7" s="811" t="inlineStr">
        <is>
          <t>PULLBACK IN UPTREND</t>
        </is>
      </c>
      <c r="F7" s="811" t="inlineStr">
        <is>
          <t>55  —  BULLISH MOMENTUM</t>
        </is>
      </c>
      <c r="G7" s="812" t="inlineStr">
        <is>
          <t>USD221.52</t>
        </is>
      </c>
      <c r="H7" s="812" t="inlineStr">
        <is>
          <t>USD204.48</t>
        </is>
      </c>
      <c r="I7" s="811" t="inlineStr">
        <is>
          <t>NORMAL</t>
        </is>
      </c>
      <c r="J7" s="811" t="inlineStr">
        <is>
          <t>52/100</t>
        </is>
      </c>
    </row>
    <row r="8" ht="6" customHeight="1"/>
    <row r="10" ht="20" customHeight="1">
      <c r="B10" s="47" t="inlineStr">
        <is>
          <t xml:space="preserve">  SUPPORT &amp; RESISTANCE  —  Current price: USD213.00</t>
        </is>
      </c>
    </row>
    <row r="11" ht="16" customHeight="1">
      <c r="B11" s="761" t="inlineStr">
        <is>
          <t>Level</t>
        </is>
      </c>
      <c r="C11" s="762" t="inlineStr">
        <is>
          <t>Price</t>
        </is>
      </c>
      <c r="D11" s="762" t="inlineStr">
        <is>
          <t>% from Current</t>
        </is>
      </c>
      <c r="E11" s="762" t="inlineStr">
        <is>
          <t>Type</t>
        </is>
      </c>
      <c r="F11" s="762" t="inlineStr">
        <is>
          <t>Strength</t>
        </is>
      </c>
    </row>
    <row r="12" ht="17" customHeight="1">
      <c r="B12" s="756" t="inlineStr">
        <is>
          <t>52-week high (resistance)</t>
        </is>
      </c>
      <c r="C12" s="753" t="inlineStr">
        <is>
          <t>USD272.64</t>
        </is>
      </c>
      <c r="D12" s="809" t="inlineStr">
        <is>
          <t>+28.0%</t>
        </is>
      </c>
      <c r="E12" s="813" t="inlineStr">
        <is>
          <t>RESISTANCE</t>
        </is>
      </c>
      <c r="F12" s="785" t="inlineStr">
        <is>
          <t>STRONG</t>
        </is>
      </c>
    </row>
    <row r="13" ht="17" customHeight="1">
      <c r="B13" s="758" t="inlineStr">
        <is>
          <t>Fib 78.6% retracement</t>
        </is>
      </c>
      <c r="C13" s="755" t="inlineStr">
        <is>
          <t>USD247.11</t>
        </is>
      </c>
      <c r="D13" s="807" t="inlineStr">
        <is>
          <t>+16.0%</t>
        </is>
      </c>
      <c r="E13" s="814" t="inlineStr">
        <is>
          <t>RESISTANCE</t>
        </is>
      </c>
      <c r="F13" s="814" t="inlineStr">
        <is>
          <t>MODERATE</t>
        </is>
      </c>
    </row>
    <row r="14" ht="17" customHeight="1">
      <c r="B14" s="756" t="inlineStr">
        <is>
          <t>Fib 61.8% retracement</t>
        </is>
      </c>
      <c r="C14" s="753" t="inlineStr">
        <is>
          <t>USD227.08</t>
        </is>
      </c>
      <c r="D14" s="809" t="inlineStr">
        <is>
          <t>+6.6%</t>
        </is>
      </c>
      <c r="E14" s="813" t="inlineStr">
        <is>
          <t>RESISTANCE</t>
        </is>
      </c>
      <c r="F14" s="813" t="inlineStr">
        <is>
          <t>MODERATE</t>
        </is>
      </c>
    </row>
    <row r="15" ht="17" customHeight="1">
      <c r="B15" s="758" t="inlineStr">
        <is>
          <t>50-day MA</t>
        </is>
      </c>
      <c r="C15" s="755" t="inlineStr">
        <is>
          <t>USD221.52</t>
        </is>
      </c>
      <c r="D15" s="807" t="inlineStr">
        <is>
          <t>+4.0%</t>
        </is>
      </c>
      <c r="E15" s="814" t="inlineStr">
        <is>
          <t>DYNAMIC</t>
        </is>
      </c>
      <c r="F15" s="814" t="inlineStr">
        <is>
          <t>MODERATE</t>
        </is>
      </c>
    </row>
    <row r="16" ht="17" customHeight="1">
      <c r="B16" s="756" t="inlineStr">
        <is>
          <t>200-day MA</t>
        </is>
      </c>
      <c r="C16" s="744" t="inlineStr">
        <is>
          <t>USD204.48</t>
        </is>
      </c>
      <c r="D16" s="815" t="inlineStr">
        <is>
          <t>-4.0%</t>
        </is>
      </c>
      <c r="E16" s="813" t="inlineStr">
        <is>
          <t>DYNAMIC</t>
        </is>
      </c>
      <c r="F16" s="785" t="inlineStr">
        <is>
          <t>STRONG</t>
        </is>
      </c>
    </row>
    <row r="17" ht="17" customHeight="1">
      <c r="B17" s="758" t="inlineStr">
        <is>
          <t>Fib 38.2% retracement</t>
        </is>
      </c>
      <c r="C17" s="766" t="inlineStr">
        <is>
          <t>USD198.92</t>
        </is>
      </c>
      <c r="D17" s="816" t="inlineStr">
        <is>
          <t>-6.6%</t>
        </is>
      </c>
      <c r="E17" s="814" t="inlineStr">
        <is>
          <t>SUPPORT</t>
        </is>
      </c>
      <c r="F17" s="814" t="inlineStr">
        <is>
          <t>MODERATE</t>
        </is>
      </c>
    </row>
    <row r="18" ht="17" customHeight="1">
      <c r="B18" s="756" t="inlineStr">
        <is>
          <t>Fib 23.6% retracement</t>
        </is>
      </c>
      <c r="C18" s="744" t="inlineStr">
        <is>
          <t>USD181.51</t>
        </is>
      </c>
      <c r="D18" s="815" t="inlineStr">
        <is>
          <t>-14.8%</t>
        </is>
      </c>
      <c r="E18" s="813" t="inlineStr">
        <is>
          <t>SUPPORT</t>
        </is>
      </c>
      <c r="F18" s="813" t="inlineStr">
        <is>
          <t>WEAK</t>
        </is>
      </c>
    </row>
    <row r="19" ht="17" customHeight="1">
      <c r="B19" s="758" t="inlineStr">
        <is>
          <t>52-week low (support)</t>
        </is>
      </c>
      <c r="C19" s="766" t="inlineStr">
        <is>
          <t>USD153.36</t>
        </is>
      </c>
      <c r="D19" s="816" t="inlineStr">
        <is>
          <t>-28.0%</t>
        </is>
      </c>
      <c r="E19" s="814" t="inlineStr">
        <is>
          <t>SUPPORT</t>
        </is>
      </c>
      <c r="F19" s="784" t="inlineStr">
        <is>
          <t>STRONG</t>
        </is>
      </c>
    </row>
    <row r="21" ht="20" customHeight="1">
      <c r="B21" s="47" t="inlineStr">
        <is>
          <t xml:space="preserve">  SECTOR ROTATION  —  Business cycle: MID</t>
        </is>
      </c>
    </row>
    <row r="22" ht="17" customHeight="1">
      <c r="B22" s="749" t="inlineStr">
        <is>
          <t>Sector</t>
        </is>
      </c>
      <c r="D22" s="817" t="inlineStr">
        <is>
          <t>Technology</t>
        </is>
      </c>
      <c r="E22" s="746" t="n"/>
      <c r="F22" s="746" t="n"/>
      <c r="G22" s="746" t="n"/>
      <c r="H22" s="746" t="n"/>
      <c r="I22" s="746" t="n"/>
    </row>
    <row r="23" ht="17" customHeight="1">
      <c r="B23" s="767" t="inlineStr">
        <is>
          <t>Business Cycle Phase</t>
        </is>
      </c>
      <c r="D23" s="818" t="inlineStr">
        <is>
          <t>MID</t>
        </is>
      </c>
      <c r="E23" s="746" t="n"/>
      <c r="F23" s="746" t="n"/>
      <c r="G23" s="746" t="n"/>
      <c r="H23" s="746" t="n"/>
      <c r="I23" s="746" t="n"/>
    </row>
    <row r="24" ht="17" customHeight="1">
      <c r="B24" s="749" t="inlineStr">
        <is>
          <t>Tech Signal</t>
        </is>
      </c>
      <c r="D24" s="819" t="inlineStr">
        <is>
          <t>BULLISH — Best environment for tech; earnings growth drives returns</t>
        </is>
      </c>
      <c r="E24" s="746" t="n"/>
      <c r="F24" s="746" t="n"/>
      <c r="G24" s="746" t="n"/>
      <c r="H24" s="746" t="n"/>
      <c r="I24" s="746" t="n"/>
    </row>
    <row r="25" ht="17" customHeight="1">
      <c r="B25" s="767" t="inlineStr">
        <is>
          <t>Recommended Action</t>
        </is>
      </c>
      <c r="D25" s="820" t="inlineStr">
        <is>
          <t>Overweight. Add on pullbacks. Trend is your friend.</t>
        </is>
      </c>
      <c r="E25" s="746" t="n"/>
      <c r="F25" s="746" t="n"/>
      <c r="G25" s="746" t="n"/>
      <c r="H25" s="746" t="n"/>
      <c r="I25" s="746" t="n"/>
    </row>
    <row r="26" ht="20" customHeight="1">
      <c r="B26" s="749" t="inlineStr">
        <is>
          <t>Cycle Notes</t>
        </is>
      </c>
      <c r="D26" s="817" t="inlineStr">
        <is>
          <t>Mid cycle — broad participation. Tech performs well. Strong earnings backdrop.</t>
        </is>
      </c>
      <c r="E26" s="746" t="n"/>
      <c r="F26" s="746" t="n"/>
      <c r="G26" s="746" t="n"/>
      <c r="H26" s="746" t="n"/>
      <c r="I26" s="746" t="n"/>
    </row>
    <row r="28" ht="20" customHeight="1">
      <c r="B28" s="47" t="inlineStr">
        <is>
          <t xml:space="preserve">  OPTIONS STRATEGY RECOMMENDATIONS  —  IV Regime: NORMAL  |  Upside to Target: -1.6%</t>
        </is>
      </c>
    </row>
    <row r="29" ht="16" customHeight="1">
      <c r="B29" s="761" t="inlineStr">
        <is>
          <t>Strategy</t>
        </is>
      </c>
      <c r="C29" s="761" t="inlineStr">
        <is>
          <t>Structure</t>
        </is>
      </c>
      <c r="D29" s="762" t="inlineStr">
        <is>
          <t>Best When</t>
        </is>
      </c>
      <c r="E29" s="762" t="inlineStr">
        <is>
          <t>Max Gain</t>
        </is>
      </c>
      <c r="F29" s="762" t="inlineStr">
        <is>
          <t>Max Loss</t>
        </is>
      </c>
      <c r="G29" s="762" t="inlineStr">
        <is>
          <t>Breakeven</t>
        </is>
      </c>
      <c r="H29" s="762" t="inlineStr">
        <is>
          <t>IV Fit</t>
        </is>
      </c>
      <c r="I29" s="762" t="inlineStr">
        <is>
          <t>Score</t>
        </is>
      </c>
    </row>
    <row r="30" ht="22" customHeight="1">
      <c r="B30" s="760" t="inlineStr">
        <is>
          <t>Cash-Secured Put</t>
        </is>
      </c>
      <c r="C30" s="821" t="inlineStr">
        <is>
          <t>Sell put at strike ~196 (8% OTM), collect premium</t>
        </is>
      </c>
      <c r="D30" s="821" t="inlineStr">
        <is>
          <t>Willing to own stock at a discount. High IV = fat premium. Bullish but patient.</t>
        </is>
      </c>
      <c r="E30" s="822" t="inlineStr">
        <is>
          <t>Premium collected (income if put expires worthless)</t>
        </is>
      </c>
      <c r="F30" s="798" t="inlineStr">
        <is>
          <t>Strike price minus premium (obligated to buy at strike)</t>
        </is>
      </c>
      <c r="G30" s="822" t="inlineStr">
        <is>
          <t>195.96 minus premium</t>
        </is>
      </c>
      <c r="H30" s="823" t="inlineStr">
        <is>
          <t>HIGH / NORMAL</t>
        </is>
      </c>
      <c r="I30" s="824" t="inlineStr">
        <is>
          <t>85</t>
        </is>
      </c>
    </row>
    <row r="31" ht="22" customHeight="1">
      <c r="B31" s="825" t="inlineStr">
        <is>
          <t>Bull Call Spread</t>
        </is>
      </c>
      <c r="C31" s="826" t="inlineStr">
        <is>
          <t>Buy call at 213, sell call at 210</t>
        </is>
      </c>
      <c r="D31" s="826" t="inlineStr">
        <is>
          <t>Bullish but want to reduce cost. Caps upside at your price target. Good when IV is high.</t>
        </is>
      </c>
      <c r="E31" s="827" t="inlineStr">
        <is>
          <t>Spread width minus net premium paid</t>
        </is>
      </c>
      <c r="F31" s="828" t="inlineStr">
        <is>
          <t>Net premium paid (defined risk)</t>
        </is>
      </c>
      <c r="G31" s="827" t="inlineStr">
        <is>
          <t>213.00 + net premium</t>
        </is>
      </c>
      <c r="H31" s="813" t="inlineStr">
        <is>
          <t>ANY — reduces premium cost vs naked call</t>
        </is>
      </c>
      <c r="I31" s="785" t="inlineStr">
        <is>
          <t>75</t>
        </is>
      </c>
    </row>
    <row r="32" ht="22" customHeight="1">
      <c r="B32" s="829" t="inlineStr">
        <is>
          <t>Buy Stock Outright</t>
        </is>
      </c>
      <c r="C32" s="830" t="inlineStr">
        <is>
          <t>Long 100 shares</t>
        </is>
      </c>
      <c r="D32" s="830" t="inlineStr">
        <is>
          <t>Strong conviction, long time horizon (&gt;1 year), low IV environment</t>
        </is>
      </c>
      <c r="E32" s="831" t="inlineStr">
        <is>
          <t>Unlimited</t>
        </is>
      </c>
      <c r="F32" s="832" t="inlineStr">
        <is>
          <t>213.00 per share (full investment)</t>
        </is>
      </c>
      <c r="G32" s="831" t="inlineStr">
        <is>
          <t>213.00</t>
        </is>
      </c>
      <c r="H32" s="814" t="inlineStr">
        <is>
          <t>LOW / NORMAL</t>
        </is>
      </c>
      <c r="I32" s="784" t="inlineStr">
        <is>
          <t>60</t>
        </is>
      </c>
    </row>
    <row r="33" ht="22" customHeight="1">
      <c r="B33" s="825" t="inlineStr">
        <is>
          <t>Covered Call</t>
        </is>
      </c>
      <c r="C33" s="826" t="inlineStr">
        <is>
          <t>Own 100 shares + sell call at 234 (10% OTM)</t>
        </is>
      </c>
      <c r="D33" s="826" t="inlineStr">
        <is>
          <t>Already own stock. Want income. Neutral-to-slightly-bullish short term.</t>
        </is>
      </c>
      <c r="E33" s="827" t="inlineStr">
        <is>
          <t>Strike − cost basis + premium collected</t>
        </is>
      </c>
      <c r="F33" s="828" t="inlineStr">
        <is>
          <t>Full position loss minus premium (same as owning stock)</t>
        </is>
      </c>
      <c r="G33" s="827" t="inlineStr">
        <is>
          <t>Cost basis minus premium collected</t>
        </is>
      </c>
      <c r="H33" s="813" t="inlineStr">
        <is>
          <t>HIGH — sell premium when IV is elevated</t>
        </is>
      </c>
      <c r="I33" s="833" t="inlineStr">
        <is>
          <t>50</t>
        </is>
      </c>
    </row>
    <row r="34" ht="22" customHeight="1">
      <c r="B34" s="829" t="inlineStr">
        <is>
          <t>Protective Put (Portfolio Hedge)</t>
        </is>
      </c>
      <c r="C34" s="830" t="inlineStr">
        <is>
          <t>Own stock + buy put at 192 (10% OTM)</t>
        </is>
      </c>
      <c r="D34" s="830" t="inlineStr">
        <is>
          <t>Own stock but worried about near-term risk. Catalyst or macro event approaching.</t>
        </is>
      </c>
      <c r="E34" s="831" t="inlineStr">
        <is>
          <t>Unlimited (minus put premium cost)</t>
        </is>
      </c>
      <c r="F34" s="832" t="inlineStr">
        <is>
          <t>10% + put premium paid (fully defined downside)</t>
        </is>
      </c>
      <c r="G34" s="831" t="inlineStr">
        <is>
          <t>Current price + put premium</t>
        </is>
      </c>
      <c r="H34" s="814" t="inlineStr">
        <is>
          <t>LOW — buy protection when IV is cheap</t>
        </is>
      </c>
      <c r="I34" s="834" t="inlineStr">
        <is>
          <t>40</t>
        </is>
      </c>
    </row>
  </sheetData>
  <mergeCells count="31">
    <mergeCell ref="B7:C7"/>
    <mergeCell ref="B25:C25"/>
    <mergeCell ref="B3:F3"/>
    <mergeCell ref="B22:C22"/>
    <mergeCell ref="G3:I3"/>
    <mergeCell ref="D6:E6"/>
    <mergeCell ref="B21:I21"/>
    <mergeCell ref="B2:I2"/>
    <mergeCell ref="I6"/>
    <mergeCell ref="B23:C23"/>
    <mergeCell ref="F6"/>
    <mergeCell ref="D25:I25"/>
    <mergeCell ref="D24:I24"/>
    <mergeCell ref="F7"/>
    <mergeCell ref="D7:E7"/>
    <mergeCell ref="D23:I23"/>
    <mergeCell ref="H6"/>
    <mergeCell ref="G7"/>
    <mergeCell ref="J6"/>
    <mergeCell ref="B10:I10"/>
    <mergeCell ref="I7"/>
    <mergeCell ref="B11"/>
    <mergeCell ref="B28:I28"/>
    <mergeCell ref="D26:I26"/>
    <mergeCell ref="G6"/>
    <mergeCell ref="B6:C6"/>
    <mergeCell ref="B24:C24"/>
    <mergeCell ref="D22:I22"/>
    <mergeCell ref="H7"/>
    <mergeCell ref="J7"/>
    <mergeCell ref="B26:C26"/>
  </mergeCells>
  <conditionalFormatting sqref="E2:E200">
    <cfRule type="cellIs" priority="1" operator="equal" dxfId="0">
      <formula>"SUPPORT"</formula>
    </cfRule>
    <cfRule type="cellIs" priority="2" operator="equal" dxfId="0">
      <formula>"RESISTANCE"</formula>
    </cfRule>
  </conditionalFormatting>
  <conditionalFormatting sqref="F2:F200">
    <cfRule type="cellIs" priority="3" operator="equal" dxfId="0">
      <formula>"STRONG"</formula>
    </cfRule>
    <cfRule type="cellIs" priority="4" operator="equal" dxfId="1">
      <formula>"MODERATE"</formula>
    </cfRule>
    <cfRule type="cellIs" priority="5" operator="equal" dxfId="0">
      <formula>"WEAK"</formula>
    </cfRule>
  </conditionalFormatting>
  <conditionalFormatting sqref="I2:I200">
    <cfRule type="expression" priority="6" dxfId="0">
      <formula>ISNUMBER(FIND("8",I2))</formula>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80.xml><?xml version="1.0" encoding="utf-8"?>
<worksheet xmlns="http://schemas.openxmlformats.org/spreadsheetml/2006/main">
  <sheetPr>
    <tabColor rgb="000071E3"/>
    <outlinePr summaryBelow="1" summaryRight="1"/>
    <pageSetUpPr fitToPage="1"/>
  </sheetPr>
  <dimension ref="A1:I29"/>
  <sheetViews>
    <sheetView showGridLines="0" workbookViewId="0">
      <pane ySplit="4" topLeftCell="A5" activePane="bottomLeft" state="frozen"/>
      <selection pane="bottomLeft" activeCell="A1" sqref="A1"/>
    </sheetView>
  </sheetViews>
  <sheetFormatPr baseColWidth="8" defaultRowHeight="15"/>
  <cols>
    <col width="1.5" customWidth="1" min="1" max="1"/>
    <col width="26" customWidth="1" min="2" max="2"/>
    <col width="14" customWidth="1" min="3" max="3"/>
    <col width="12" customWidth="1" min="4" max="4"/>
    <col width="12" customWidth="1" min="5" max="5"/>
    <col width="14" customWidth="1" min="6" max="6"/>
    <col width="14" customWidth="1" min="7" max="7"/>
    <col width="14" customWidth="1" min="8" max="8"/>
    <col width="1.5" customWidth="1" min="9" max="9"/>
  </cols>
  <sheetData>
    <row r="1" ht="6" customHeight="1"/>
    <row r="2" ht="38" customHeight="1">
      <c r="B2" s="835" t="inlineStr">
        <is>
          <t xml:space="preserve">  APPLE INC.  --  AI IMPACT &amp; DISRUPTION ANALYSIS</t>
        </is>
      </c>
    </row>
    <row r="3" ht="14" customHeight="1">
      <c r="B3" s="836" t="inlineStr">
        <is>
          <t xml:space="preserve">  Automation risk scoring, AI tailwind/headwind exposure, and strategic positioning</t>
        </is>
      </c>
    </row>
    <row r="4" ht="4" customHeight="1"/>
    <row r="5" ht="32" customHeight="1">
      <c r="B5" s="837" t="inlineStr">
        <is>
          <t xml:space="preserve">  AI DISRUPTION RISK SCORE:  61.5 / 100</t>
        </is>
      </c>
      <c r="E5" s="838" t="inlineStr">
        <is>
          <t xml:space="preserve">  MILD TAILWIND</t>
        </is>
      </c>
    </row>
    <row r="6" ht="20" customHeight="1">
      <c r="B6" s="47" t="inlineStr">
        <is>
          <t xml:space="preserve">  AI FACTOR EXPOSURE  --  Positive = AI tailwind, Negative = AI headwind</t>
        </is>
      </c>
    </row>
    <row r="7" ht="16" customHeight="1">
      <c r="B7" s="839" t="inlineStr">
        <is>
          <t>Factor</t>
        </is>
      </c>
      <c r="C7" s="204" t="inlineStr">
        <is>
          <t>Exposure</t>
        </is>
      </c>
      <c r="D7" s="204" t="inlineStr">
        <is>
          <t>Direction</t>
        </is>
      </c>
      <c r="E7" s="204" t="inlineStr">
        <is>
          <t>Commentary</t>
        </is>
      </c>
    </row>
    <row r="8" ht="18" customHeight="1">
      <c r="B8" s="273" t="inlineStr">
        <is>
          <t>Labour Automation Risk</t>
        </is>
      </c>
      <c r="C8" s="840" t="inlineStr">
        <is>
          <t>-60%</t>
        </is>
      </c>
      <c r="D8" s="841" t="inlineStr">
        <is>
          <t>HEADWIND</t>
        </is>
      </c>
      <c r="E8" s="842" t="inlineStr">
        <is>
          <t>High % of tasks automatable via current LLM+robotics</t>
        </is>
      </c>
    </row>
    <row r="9" ht="18" customHeight="1">
      <c r="B9" s="152" t="inlineStr">
        <is>
          <t>AI Product Adoption</t>
        </is>
      </c>
      <c r="C9" s="720" t="inlineStr">
        <is>
          <t>+50%</t>
        </is>
      </c>
      <c r="D9" s="843" t="inlineStr">
        <is>
          <t>TAILWIND</t>
        </is>
      </c>
      <c r="E9" s="844" t="inlineStr">
        <is>
          <t>Revenue uplift from AI-powered product lines</t>
        </is>
      </c>
    </row>
    <row r="10" ht="18" customHeight="1">
      <c r="B10" s="273" t="inlineStr">
        <is>
          <t>Data Moat</t>
        </is>
      </c>
      <c r="C10" s="845" t="inlineStr">
        <is>
          <t>+40%</t>
        </is>
      </c>
      <c r="D10" s="846" t="inlineStr">
        <is>
          <t>TAILWIND</t>
        </is>
      </c>
      <c r="E10" s="842" t="inlineStr">
        <is>
          <t>Proprietary dataset creates durable competitive advantage</t>
        </is>
      </c>
    </row>
    <row r="11" ht="18" customHeight="1">
      <c r="B11" s="152" t="inlineStr">
        <is>
          <t>R&amp;D Leverage</t>
        </is>
      </c>
      <c r="C11" s="720" t="inlineStr">
        <is>
          <t>+30%</t>
        </is>
      </c>
      <c r="D11" s="843" t="inlineStr">
        <is>
          <t>TAILWIND</t>
        </is>
      </c>
      <c r="E11" s="844" t="inlineStr">
        <is>
          <t>AI accelerates R&amp;D cycle; lowers cost-to-innovation</t>
        </is>
      </c>
    </row>
    <row r="12" ht="18" customHeight="1">
      <c r="B12" s="273" t="inlineStr">
        <is>
          <t>Competitive Disruption Risk</t>
        </is>
      </c>
      <c r="C12" s="840" t="inlineStr">
        <is>
          <t>-40%</t>
        </is>
      </c>
      <c r="D12" s="841" t="inlineStr">
        <is>
          <t>HEADWIND</t>
        </is>
      </c>
      <c r="E12" s="842" t="inlineStr">
        <is>
          <t>AI-native entrants may undercut on price/speed</t>
        </is>
      </c>
    </row>
    <row r="13" ht="18" customHeight="1">
      <c r="B13" s="152" t="inlineStr">
        <is>
          <t>Regulatory / AI Governance</t>
        </is>
      </c>
      <c r="C13" s="847" t="inlineStr">
        <is>
          <t>-20%</t>
        </is>
      </c>
      <c r="D13" s="848" t="inlineStr">
        <is>
          <t>HEADWIND</t>
        </is>
      </c>
      <c r="E13" s="844" t="inlineStr">
        <is>
          <t>Compliance cost rising as AI regulation expands globally</t>
        </is>
      </c>
    </row>
    <row r="15" ht="20" customHeight="1">
      <c r="B15" s="47" t="inlineStr">
        <is>
          <t xml:space="preserve">  AUTOMATION RISK BY BUSINESS LINE  --  % of tasks susceptible to AI substitution</t>
        </is>
      </c>
    </row>
    <row r="16" ht="16" customHeight="1">
      <c r="B16" s="839" t="inlineStr">
        <is>
          <t>Business Line</t>
        </is>
      </c>
      <c r="C16" s="204" t="inlineStr">
        <is>
          <t>Auto. Risk %</t>
        </is>
      </c>
      <c r="D16" s="204" t="inlineStr">
        <is>
          <t>Timeline</t>
        </is>
      </c>
      <c r="E16" s="204" t="inlineStr">
        <is>
          <t>Mitigation</t>
        </is>
      </c>
    </row>
    <row r="17" ht="18" customHeight="1">
      <c r="B17" s="58" t="inlineStr">
        <is>
          <t>Core Product</t>
        </is>
      </c>
      <c r="C17" s="845" t="inlineStr">
        <is>
          <t>35%</t>
        </is>
      </c>
      <c r="D17" s="849" t="inlineStr">
        <is>
          <t>3-5 yrs</t>
        </is>
      </c>
      <c r="E17" s="842" t="inlineStr">
        <is>
          <t>Embed AI features; maintain switching costs</t>
        </is>
      </c>
    </row>
    <row r="18" ht="18" customHeight="1">
      <c r="B18" s="55" t="inlineStr">
        <is>
          <t>Services / Support</t>
        </is>
      </c>
      <c r="C18" s="847" t="inlineStr">
        <is>
          <t>65%</t>
        </is>
      </c>
      <c r="D18" s="850" t="inlineStr">
        <is>
          <t>1-3 yrs</t>
        </is>
      </c>
      <c r="E18" s="844" t="inlineStr">
        <is>
          <t>AI-augmented agents; retrain workforce</t>
        </is>
      </c>
    </row>
    <row r="19" ht="18" customHeight="1">
      <c r="B19" s="58" t="inlineStr">
        <is>
          <t>Sales &amp; Marketing</t>
        </is>
      </c>
      <c r="C19" s="851" t="inlineStr">
        <is>
          <t>40%</t>
        </is>
      </c>
      <c r="D19" s="849" t="inlineStr">
        <is>
          <t>2-4 yrs</t>
        </is>
      </c>
      <c r="E19" s="842" t="inlineStr">
        <is>
          <t>AI-led personalisation; reduce headcount via attrition</t>
        </is>
      </c>
    </row>
    <row r="20" ht="18" customHeight="1">
      <c r="B20" s="55" t="inlineStr">
        <is>
          <t>Back Office / Admin</t>
        </is>
      </c>
      <c r="C20" s="847" t="inlineStr">
        <is>
          <t>75%</t>
        </is>
      </c>
      <c r="D20" s="850" t="inlineStr">
        <is>
          <t>1-2 yrs</t>
        </is>
      </c>
      <c r="E20" s="844" t="inlineStr">
        <is>
          <t>Automate workflows; reinvest savings in R&amp;D</t>
        </is>
      </c>
    </row>
    <row r="21" ht="18" customHeight="1">
      <c r="B21" s="58" t="inlineStr">
        <is>
          <t>R&amp;D / Engineering</t>
        </is>
      </c>
      <c r="C21" s="845" t="inlineStr">
        <is>
          <t>20%</t>
        </is>
      </c>
      <c r="D21" s="849" t="inlineStr">
        <is>
          <t>5+ yrs</t>
        </is>
      </c>
      <c r="E21" s="842" t="inlineStr">
        <is>
          <t>Copilot tools accelerate; human judgment still critical</t>
        </is>
      </c>
    </row>
    <row r="23" ht="20" customHeight="1">
      <c r="B23" s="47" t="inlineStr">
        <is>
          <t xml:space="preserve">  AI STRATEGIC POSITIONING  --  Where the company stands vs AI-native peers</t>
        </is>
      </c>
    </row>
    <row r="24" ht="18" customHeight="1">
      <c r="B24" s="273" t="inlineStr">
        <is>
          <t>Overall AI Readiness</t>
        </is>
      </c>
      <c r="C24" s="851" t="inlineStr">
        <is>
          <t>50</t>
        </is>
      </c>
      <c r="D24" s="852" t="inlineStr">
        <is>
          <t>% vs 100 best-in-class</t>
        </is>
      </c>
    </row>
    <row r="25" ht="18" customHeight="1">
      <c r="B25" s="152" t="inlineStr">
        <is>
          <t>AI Investment Intensity</t>
        </is>
      </c>
      <c r="C25" s="853" t="inlineStr">
        <is>
          <t>8%</t>
        </is>
      </c>
      <c r="D25" s="854" t="inlineStr">
        <is>
          <t>AI capex as % of total capex</t>
        </is>
      </c>
    </row>
    <row r="26" ht="18" customHeight="1">
      <c r="B26" s="273" t="inlineStr">
        <is>
          <t>AI Patent Density</t>
        </is>
      </c>
      <c r="C26" s="851" t="inlineStr">
        <is>
          <t>N/A</t>
        </is>
      </c>
      <c r="D26" s="852" t="inlineStr">
        <is>
          <t>Relative patent rank vs sector peers</t>
        </is>
      </c>
    </row>
    <row r="27" ht="18" customHeight="1">
      <c r="B27" s="152" t="inlineStr">
        <is>
          <t>AI Revenue Contribution</t>
        </is>
      </c>
      <c r="C27" s="853" t="inlineStr">
        <is>
          <t>12%</t>
        </is>
      </c>
      <c r="D27" s="854" t="inlineStr">
        <is>
          <t>% of revenue from AI-enabled products</t>
        </is>
      </c>
    </row>
    <row r="28" ht="18" customHeight="1">
      <c r="B28" s="273" t="inlineStr">
        <is>
          <t>Workforce AI Readiness</t>
        </is>
      </c>
      <c r="C28" s="851" t="inlineStr">
        <is>
          <t>55</t>
        </is>
      </c>
      <c r="D28" s="852" t="inlineStr">
        <is>
          <t>% employees with AI/ML skills</t>
        </is>
      </c>
    </row>
    <row r="29" ht="18" customHeight="1">
      <c r="B29" s="152" t="inlineStr">
        <is>
          <t>AI Partnership Ecosystem</t>
        </is>
      </c>
      <c r="C29" s="853" t="inlineStr">
        <is>
          <t>N/A</t>
        </is>
      </c>
      <c r="D29" s="854" t="inlineStr">
        <is>
          <t>Depth of cloud/AI platform partnerships</t>
        </is>
      </c>
    </row>
  </sheetData>
  <mergeCells count="26">
    <mergeCell ref="B6:H6"/>
    <mergeCell ref="E16:H16"/>
    <mergeCell ref="E7:H7"/>
    <mergeCell ref="B15:H15"/>
    <mergeCell ref="E18:H18"/>
    <mergeCell ref="E12:H12"/>
    <mergeCell ref="E21:H21"/>
    <mergeCell ref="D27:H27"/>
    <mergeCell ref="B3:H3"/>
    <mergeCell ref="E5:H5"/>
    <mergeCell ref="B5:D5"/>
    <mergeCell ref="E17:H17"/>
    <mergeCell ref="E8:H8"/>
    <mergeCell ref="E20:H20"/>
    <mergeCell ref="D28:H28"/>
    <mergeCell ref="B2:H2"/>
    <mergeCell ref="E19:H19"/>
    <mergeCell ref="E10:H10"/>
    <mergeCell ref="E13:H13"/>
    <mergeCell ref="B23:H23"/>
    <mergeCell ref="D25:H25"/>
    <mergeCell ref="E9:H9"/>
    <mergeCell ref="D24:H24"/>
    <mergeCell ref="D29:H29"/>
    <mergeCell ref="E11:H11"/>
    <mergeCell ref="D26:H26"/>
  </mergeCells>
  <conditionalFormatting sqref="D2:D200">
    <cfRule type="cellIs" priority="1" operator="equal" dxfId="0">
      <formula>"TAILWIND"</formula>
    </cfRule>
    <cfRule type="cellIs" priority="2" operator="equal" dxfId="0">
      <formula>"HEADWIND"</formula>
    </cfRule>
    <cfRule type="cellIs" priority="3" operator="equal" dxfId="1">
      <formula>"NEUTRAL"</formula>
    </cfRule>
  </conditionalFormatting>
  <pageMargins left="0.4" right="0.4" top="0.6" bottom="0.5" header="0.5" footer="0.5"/>
  <pageSetup orientation="landscape" fitToWidth="1"/>
  <headerFooter>
    <oddHeader>&amp;L&amp;9 &amp;"Calibri,Bold"&amp;9 Institutional Equity Valuation Model&amp;R&amp;8 &amp;"Calibri,Regular"&amp;8 &amp;D</oddHeader>
    <oddFooter>&amp;C&amp;8 &amp;"Calibri,Regular"&amp;8 CONFIDENTIAL — For Authorised Recipients Only  |  &amp;F  |  Page &amp;P of &amp;N</oddFooter>
    <evenHeader/>
    <evenFooter/>
    <firstHeader/>
    <firstFooter/>
  </headerFooter>
</worksheet>
</file>

<file path=xl/worksheets/sheet81.xml><?xml version="1.0" encoding="utf-8"?>
<worksheet xmlns="http://schemas.openxmlformats.org/spreadsheetml/2006/main">
  <sheetPr>
    <tabColor rgb="000071E3"/>
    <outlinePr summaryBelow="1" summaryRight="1"/>
    <pageSetUpPr/>
  </sheetPr>
  <dimension ref="B1:E33"/>
  <sheetViews>
    <sheetView showGridLines="0" workbookViewId="0">
      <pane ySplit="2" topLeftCell="A3" activePane="bottomLeft" state="frozen"/>
      <selection pane="bottomLeft" activeCell="A1" sqref="A1"/>
    </sheetView>
  </sheetViews>
  <sheetFormatPr baseColWidth="8" defaultRowHeight="15"/>
  <cols>
    <col width="3" customWidth="1" min="1" max="1"/>
    <col width="30" customWidth="1" min="2" max="2"/>
    <col width="18" customWidth="1" min="3" max="3"/>
    <col width="18" customWidth="1" min="4" max="4"/>
    <col width="28" customWidth="1" min="5" max="5"/>
    <col width="3" customWidth="1" min="6" max="6"/>
  </cols>
  <sheetData>
    <row r="1" ht="28" customHeight="1">
      <c r="B1" s="855" t="inlineStr">
        <is>
          <t>Apple Inc. — Behavioral Trust &amp; Management Calibration</t>
        </is>
      </c>
    </row>
    <row r="3" ht="20" customHeight="1">
      <c r="B3" s="856" t="inlineStr">
        <is>
          <t>TRUST COEFFICIENT BREAKDOWN</t>
        </is>
      </c>
    </row>
    <row r="4" ht="18" customHeight="1">
      <c r="B4" s="79" t="inlineStr">
        <is>
          <t>Trust Coefficient</t>
        </is>
      </c>
      <c r="C4" s="851" t="inlineStr">
        <is>
          <t>1.0000</t>
        </is>
      </c>
      <c r="D4" s="229" t="inlineStr">
        <is>
          <t>1.0 = full trust; 0.7 = floor</t>
        </is>
      </c>
    </row>
    <row r="5" ht="18" customHeight="1">
      <c r="B5" s="77" t="inlineStr">
        <is>
          <t>Grade</t>
        </is>
      </c>
      <c r="C5" s="853" t="inlineStr">
        <is>
          <t>A</t>
        </is>
      </c>
      <c r="D5" s="230" t="inlineStr">
        <is>
          <t>A–F based on historical accuracy</t>
        </is>
      </c>
    </row>
    <row r="6" ht="18" customHeight="1">
      <c r="B6" s="79" t="inlineStr">
        <is>
          <t>Historical Miss Rate</t>
        </is>
      </c>
      <c r="C6" s="851" t="inlineStr">
        <is>
          <t>0.0%</t>
        </is>
      </c>
      <c r="D6" s="229" t="inlineStr">
        <is>
          <t>% of guidance misses (over/under combined)</t>
        </is>
      </c>
    </row>
    <row r="7" ht="18" customHeight="1">
      <c r="B7" s="77" t="inlineStr">
        <is>
          <t>Language Defensiveness Score</t>
        </is>
      </c>
      <c r="C7" s="853" t="inlineStr">
        <is>
          <t>0.0000</t>
        </is>
      </c>
      <c r="D7" s="230" t="inlineStr">
        <is>
          <t>0=direct, 1=highly hedged language</t>
        </is>
      </c>
    </row>
    <row r="8" ht="18" customHeight="1">
      <c r="B8" s="79" t="inlineStr">
        <is>
          <t>Floored at Minimum</t>
        </is>
      </c>
      <c r="C8" s="851" t="inlineStr">
        <is>
          <t>No</t>
        </is>
      </c>
      <c r="D8" s="229" t="inlineStr">
        <is>
          <t>Hard floor = 0.70</t>
        </is>
      </c>
    </row>
    <row r="9" ht="18" customHeight="1">
      <c r="B9" s="77" t="inlineStr">
        <is>
          <t>Interpretation</t>
        </is>
      </c>
      <c r="C9" s="853" t="inlineStr">
        <is>
          <t>Highly credible — projections used at face value.</t>
        </is>
      </c>
      <c r="D9" s="230" t="inlineStr"/>
    </row>
    <row r="11" ht="20" customHeight="1">
      <c r="B11" s="856" t="inlineStr">
        <is>
          <t>TRUST-ADJUSTED ASSUMPTIONS</t>
        </is>
      </c>
    </row>
    <row r="12" ht="18" customHeight="1">
      <c r="B12" s="56" t="inlineStr">
        <is>
          <t>Metric</t>
        </is>
      </c>
      <c r="C12" s="56" t="inlineStr">
        <is>
          <t>Original</t>
        </is>
      </c>
      <c r="D12" s="56" t="inlineStr">
        <is>
          <t>Adjusted</t>
        </is>
      </c>
      <c r="E12" s="56" t="inlineStr">
        <is>
          <t>Δ Discount</t>
        </is>
      </c>
    </row>
    <row r="13" ht="17" customHeight="1">
      <c r="B13" s="80" t="inlineStr">
        <is>
          <t>wacc</t>
        </is>
      </c>
      <c r="C13" s="59" t="n">
        <v>0.082</v>
      </c>
      <c r="D13" s="69" t="n">
        <v>0.082</v>
      </c>
      <c r="E13" s="59" t="n">
        <v>0</v>
      </c>
    </row>
    <row r="14" ht="17" customHeight="1">
      <c r="B14" s="78" t="inlineStr">
        <is>
          <t>g1</t>
        </is>
      </c>
      <c r="C14" s="57" t="n">
        <v>0.075</v>
      </c>
      <c r="D14" s="70" t="n">
        <v>0.075</v>
      </c>
      <c r="E14" s="59" t="n">
        <v>0</v>
      </c>
    </row>
    <row r="15" ht="17" customHeight="1">
      <c r="B15" s="80" t="inlineStr">
        <is>
          <t>g2</t>
        </is>
      </c>
      <c r="C15" s="59" t="n">
        <v>0.06</v>
      </c>
      <c r="D15" s="69" t="n">
        <v>0.06</v>
      </c>
      <c r="E15" s="59" t="n">
        <v>0</v>
      </c>
    </row>
    <row r="16" ht="17" customHeight="1">
      <c r="B16" s="78" t="inlineStr">
        <is>
          <t>terminal_growth</t>
        </is>
      </c>
      <c r="C16" s="57" t="n">
        <v>0.03</v>
      </c>
      <c r="D16" s="70" t="n">
        <v>0.03</v>
      </c>
      <c r="E16" s="59" t="n">
        <v>0</v>
      </c>
    </row>
    <row r="17" ht="17" customHeight="1">
      <c r="B17" s="80" t="inlineStr">
        <is>
          <t>ebit_margin</t>
        </is>
      </c>
      <c r="C17" s="59" t="n">
        <v>0.295</v>
      </c>
      <c r="D17" s="69" t="n">
        <v>0.295</v>
      </c>
      <c r="E17" s="59" t="n">
        <v>0</v>
      </c>
    </row>
    <row r="18" ht="17" customHeight="1">
      <c r="B18" s="78" t="inlineStr">
        <is>
          <t>tax_rate</t>
        </is>
      </c>
      <c r="C18" s="57" t="n">
        <v>0.151</v>
      </c>
      <c r="D18" s="70" t="n">
        <v>0.151</v>
      </c>
      <c r="E18" s="59" t="n">
        <v>0</v>
      </c>
    </row>
    <row r="19" ht="17" customHeight="1">
      <c r="B19" s="80" t="inlineStr">
        <is>
          <t>capex_pct</t>
        </is>
      </c>
      <c r="C19" s="59" t="n">
        <v>0.024</v>
      </c>
      <c r="D19" s="69" t="n">
        <v>0.024</v>
      </c>
      <c r="E19" s="59" t="n">
        <v>0</v>
      </c>
    </row>
    <row r="20" ht="17" customHeight="1">
      <c r="B20" s="78" t="inlineStr">
        <is>
          <t>da_pct</t>
        </is>
      </c>
      <c r="C20" s="57" t="n">
        <v>0.029</v>
      </c>
      <c r="D20" s="70" t="n">
        <v>0.029</v>
      </c>
      <c r="E20" s="59" t="n">
        <v>0</v>
      </c>
    </row>
    <row r="21" ht="17" customHeight="1">
      <c r="B21" s="80" t="inlineStr">
        <is>
          <t>nwc_pct</t>
        </is>
      </c>
      <c r="C21" s="59" t="n">
        <v>-0.08</v>
      </c>
      <c r="D21" s="69" t="n">
        <v>-0.08</v>
      </c>
      <c r="E21" s="59" t="n">
        <v>0</v>
      </c>
    </row>
    <row r="22" ht="17" customHeight="1">
      <c r="B22" s="78" t="inlineStr">
        <is>
          <t>tgr</t>
        </is>
      </c>
      <c r="C22" s="57" t="n">
        <v>0.03</v>
      </c>
      <c r="D22" s="70" t="n">
        <v>0.03</v>
      </c>
      <c r="E22" s="59" t="n">
        <v>0</v>
      </c>
    </row>
    <row r="23" ht="17" customHeight="1">
      <c r="B23" s="80" t="inlineStr">
        <is>
          <t>ebit</t>
        </is>
      </c>
      <c r="C23" s="59" t="n">
        <v>0.295</v>
      </c>
      <c r="D23" s="69" t="n">
        <v>0.295</v>
      </c>
      <c r="E23" s="59" t="n">
        <v>0</v>
      </c>
    </row>
    <row r="24" ht="17" customHeight="1">
      <c r="B24" s="78" t="inlineStr">
        <is>
          <t>da</t>
        </is>
      </c>
      <c r="C24" s="57" t="n">
        <v>0.029</v>
      </c>
      <c r="D24" s="70" t="n">
        <v>0.029</v>
      </c>
      <c r="E24" s="59" t="n">
        <v>0</v>
      </c>
    </row>
    <row r="25" ht="17" customHeight="1">
      <c r="B25" s="80" t="inlineStr">
        <is>
          <t>capex</t>
        </is>
      </c>
      <c r="C25" s="59" t="n">
        <v>0.024</v>
      </c>
      <c r="D25" s="69" t="n">
        <v>0.024</v>
      </c>
      <c r="E25" s="59" t="n">
        <v>0</v>
      </c>
    </row>
    <row r="26" ht="17" customHeight="1">
      <c r="B26" s="78" t="inlineStr">
        <is>
          <t>tax</t>
        </is>
      </c>
      <c r="C26" s="57" t="n">
        <v>0.151</v>
      </c>
      <c r="D26" s="70" t="n">
        <v>0.151</v>
      </c>
      <c r="E26" s="59" t="n">
        <v>0</v>
      </c>
    </row>
    <row r="27" ht="17" customHeight="1">
      <c r="B27" s="80" t="inlineStr">
        <is>
          <t>bear_gmult</t>
        </is>
      </c>
      <c r="C27" s="59" t="n">
        <v>0.65</v>
      </c>
      <c r="D27" s="69" t="n">
        <v>0.65</v>
      </c>
      <c r="E27" s="59" t="n">
        <v>0</v>
      </c>
    </row>
    <row r="28" ht="17" customHeight="1">
      <c r="B28" s="78" t="inlineStr">
        <is>
          <t>bull_gmult</t>
        </is>
      </c>
      <c r="C28" s="57" t="n">
        <v>1.35</v>
      </c>
      <c r="D28" s="70" t="n">
        <v>1.35</v>
      </c>
      <c r="E28" s="59" t="n">
        <v>0</v>
      </c>
    </row>
    <row r="29" ht="17" customHeight="1">
      <c r="B29" s="80" t="inlineStr">
        <is>
          <t>bear_wadj</t>
        </is>
      </c>
      <c r="C29" s="59" t="n">
        <v>0.02</v>
      </c>
      <c r="D29" s="69" t="n">
        <v>0.02</v>
      </c>
      <c r="E29" s="59" t="n">
        <v>0</v>
      </c>
    </row>
    <row r="30" ht="17" customHeight="1">
      <c r="B30" s="78" t="inlineStr">
        <is>
          <t>bull_wadj</t>
        </is>
      </c>
      <c r="C30" s="57" t="n">
        <v>-0.02</v>
      </c>
      <c r="D30" s="70" t="n">
        <v>-0.02</v>
      </c>
      <c r="E30" s="59" t="n">
        <v>0</v>
      </c>
    </row>
    <row r="31" ht="17" customHeight="1">
      <c r="B31" s="80" t="inlineStr">
        <is>
          <t>bear_wt</t>
        </is>
      </c>
      <c r="C31" s="59" t="n">
        <v>0.25</v>
      </c>
      <c r="D31" s="69" t="n">
        <v>0.25</v>
      </c>
      <c r="E31" s="59" t="n">
        <v>0</v>
      </c>
    </row>
    <row r="32" ht="17" customHeight="1">
      <c r="B32" s="78" t="inlineStr">
        <is>
          <t>base_wt</t>
        </is>
      </c>
      <c r="C32" s="57" t="n">
        <v>0.5</v>
      </c>
      <c r="D32" s="70" t="n">
        <v>0.5</v>
      </c>
      <c r="E32" s="59" t="n">
        <v>0</v>
      </c>
    </row>
    <row r="33" ht="17" customHeight="1">
      <c r="B33" s="80" t="inlineStr">
        <is>
          <t>bull_wt</t>
        </is>
      </c>
      <c r="C33" s="59" t="n">
        <v>0.25</v>
      </c>
      <c r="D33" s="69" t="n">
        <v>0.25</v>
      </c>
      <c r="E33" s="59" t="n">
        <v>0</v>
      </c>
    </row>
  </sheetData>
  <mergeCells count="9">
    <mergeCell ref="D8:E8"/>
    <mergeCell ref="D6:E6"/>
    <mergeCell ref="B1:E1"/>
    <mergeCell ref="D7:E7"/>
    <mergeCell ref="D5:E5"/>
    <mergeCell ref="B11:E11"/>
    <mergeCell ref="D4:E4"/>
    <mergeCell ref="B3:E3"/>
    <mergeCell ref="D9:E9"/>
  </mergeCells>
  <pageMargins left="0.75" right="0.75" top="1" bottom="1" header="0.5" footer="0.5"/>
</worksheet>
</file>

<file path=xl/worksheets/sheet82.xml><?xml version="1.0" encoding="utf-8"?>
<worksheet xmlns="http://schemas.openxmlformats.org/spreadsheetml/2006/main">
  <sheetPr>
    <tabColor rgb="000071E3"/>
    <outlinePr summaryBelow="1" summaryRight="1"/>
    <pageSetUpPr/>
  </sheetPr>
  <dimension ref="B1:I9"/>
  <sheetViews>
    <sheetView showGridLines="0" workbookViewId="0">
      <pane ySplit="5" topLeftCell="A6" activePane="bottomLeft" state="frozen"/>
      <selection pane="bottomLeft" activeCell="A1" sqref="A1"/>
    </sheetView>
  </sheetViews>
  <sheetFormatPr baseColWidth="8" defaultRowHeight="15"/>
  <cols>
    <col width="3" customWidth="1" min="1" max="1"/>
    <col width="10" customWidth="1" min="2" max="2"/>
    <col width="8" customWidth="1" min="3" max="3"/>
    <col width="12" customWidth="1" min="4" max="4"/>
    <col width="12" customWidth="1" min="5" max="5"/>
    <col width="10" customWidth="1" min="6" max="6"/>
    <col width="10" customWidth="1" min="7" max="7"/>
    <col width="14" customWidth="1" min="8" max="8"/>
    <col width="14" customWidth="1" min="9" max="9"/>
    <col width="3" customWidth="1" min="10" max="10"/>
  </cols>
  <sheetData>
    <row r="1" ht="28" customHeight="1">
      <c r="B1" s="855" t="inlineStr">
        <is>
          <t>Apple Inc. — Shadow Pods Paper Trade Ledger</t>
        </is>
      </c>
    </row>
    <row r="3" ht="18" customHeight="1">
      <c r="B3" s="77" t="inlineStr">
        <is>
          <t>Total Trades</t>
        </is>
      </c>
      <c r="C3" s="853" t="n">
        <v>0</v>
      </c>
    </row>
    <row r="4" ht="18" customHeight="1">
      <c r="B4" s="77" t="inlineStr">
        <is>
          <t>Open</t>
        </is>
      </c>
      <c r="C4" s="853" t="n">
        <v>0</v>
      </c>
    </row>
    <row r="5" ht="18" customHeight="1">
      <c r="B5" s="77" t="inlineStr">
        <is>
          <t>Closed/Decayed</t>
        </is>
      </c>
      <c r="C5" s="853" t="n">
        <v>0</v>
      </c>
    </row>
    <row r="6" ht="18" customHeight="1">
      <c r="B6" s="77" t="inlineStr">
        <is>
          <t>Avg PnL (closed)</t>
        </is>
      </c>
      <c r="C6" s="853" t="inlineStr">
        <is>
          <t>+0.0%</t>
        </is>
      </c>
    </row>
    <row r="8" ht="20" customHeight="1">
      <c r="B8" s="56" t="inlineStr">
        <is>
          <t>Trade ID</t>
        </is>
      </c>
      <c r="C8" s="56" t="inlineStr">
        <is>
          <t>Ticker</t>
        </is>
      </c>
      <c r="D8" s="56" t="inlineStr">
        <is>
          <t>Entry Date</t>
        </is>
      </c>
      <c r="E8" s="56" t="inlineStr">
        <is>
          <t>Entry $</t>
        </is>
      </c>
      <c r="F8" s="56" t="inlineStr">
        <is>
          <t>Target $</t>
        </is>
      </c>
      <c r="G8" s="56" t="inlineStr">
        <is>
          <t>Status</t>
        </is>
      </c>
      <c r="H8" s="56" t="inlineStr">
        <is>
          <t>Close $</t>
        </is>
      </c>
      <c r="I8" s="56" t="inlineStr">
        <is>
          <t>PnL %</t>
        </is>
      </c>
    </row>
    <row r="9" ht="18" customHeight="1">
      <c r="B9" s="317" t="inlineStr">
        <is>
          <t>No shadow pods logged yet — run generate.py to begin tracking.</t>
        </is>
      </c>
    </row>
  </sheetData>
  <mergeCells count="2">
    <mergeCell ref="B9:I9"/>
    <mergeCell ref="B1:I1"/>
  </mergeCells>
  <pageMargins left="0.75" right="0.75" top="1" bottom="1" header="0.5" footer="0.5"/>
</worksheet>
</file>

<file path=xl/worksheets/sheet83.xml><?xml version="1.0" encoding="utf-8"?>
<worksheet xmlns="http://schemas.openxmlformats.org/spreadsheetml/2006/main">
  <sheetPr>
    <tabColor rgb="000071E3"/>
    <outlinePr summaryBelow="1" summaryRight="1"/>
    <pageSetUpPr/>
  </sheetPr>
  <dimension ref="B1:G12"/>
  <sheetViews>
    <sheetView showGridLines="0" workbookViewId="0">
      <pane ySplit="5" topLeftCell="A6" activePane="bottomLeft" state="frozen"/>
      <selection pane="bottomLeft" activeCell="A1" sqref="A1"/>
    </sheetView>
  </sheetViews>
  <sheetFormatPr baseColWidth="8" defaultRowHeight="15"/>
  <cols>
    <col width="3" customWidth="1" min="1" max="1"/>
    <col width="22" customWidth="1" min="2" max="2"/>
    <col width="14" customWidth="1" min="3" max="3"/>
    <col width="14" customWidth="1" min="4" max="4"/>
    <col width="10" customWidth="1" min="5" max="5"/>
    <col width="10" customWidth="1" min="6" max="6"/>
    <col width="28" customWidth="1" min="7" max="7"/>
    <col width="3" customWidth="1" min="8" max="8"/>
  </cols>
  <sheetData>
    <row r="1" ht="28" customHeight="1">
      <c r="B1" s="855" t="inlineStr">
        <is>
          <t>Apple Inc. — Falsifiability Thresholds (Reverse DCF)</t>
        </is>
      </c>
    </row>
    <row r="3" ht="18" customHeight="1">
      <c r="B3" s="317" t="inlineStr">
        <is>
          <t>Current Price: $213.00   |   Breakeven = value at which DCF fair value = current price</t>
        </is>
      </c>
    </row>
    <row r="5" ht="20" customHeight="1">
      <c r="B5" s="56" t="inlineStr">
        <is>
          <t>Variable</t>
        </is>
      </c>
      <c r="C5" s="56" t="inlineStr">
        <is>
          <t>Current</t>
        </is>
      </c>
      <c r="D5" s="56" t="inlineStr">
        <is>
          <t>Breakeven</t>
        </is>
      </c>
      <c r="E5" s="56" t="inlineStr">
        <is>
          <t>MoS %</t>
        </is>
      </c>
      <c r="F5" s="56" t="inlineStr">
        <is>
          <t>Status</t>
        </is>
      </c>
      <c r="G5" s="56" t="inlineStr">
        <is>
          <t>Interpretation</t>
        </is>
      </c>
    </row>
    <row r="6" ht="18" customHeight="1">
      <c r="B6" s="79" t="inlineStr">
        <is>
          <t>ebit_margin</t>
        </is>
      </c>
      <c r="C6" s="59" t="inlineStr">
        <is>
          <t>0.2950</t>
        </is>
      </c>
      <c r="D6" s="851" t="inlineStr">
        <is>
          <t>0.3887</t>
        </is>
      </c>
      <c r="E6" s="857" t="inlineStr">
        <is>
          <t>-24.1%</t>
        </is>
      </c>
      <c r="F6" s="69" t="inlineStr">
        <is>
          <t>solved</t>
        </is>
      </c>
      <c r="G6" s="229" t="inlineStr">
        <is>
          <t>EBIT margin must stay above 38.9% to justify current price</t>
        </is>
      </c>
    </row>
    <row r="7" ht="18" customHeight="1">
      <c r="B7" s="77" t="inlineStr">
        <is>
          <t>g1</t>
        </is>
      </c>
      <c r="C7" s="57" t="inlineStr">
        <is>
          <t>0.0750</t>
        </is>
      </c>
      <c r="D7" s="853" t="inlineStr">
        <is>
          <t>0.1555</t>
        </is>
      </c>
      <c r="E7" s="857" t="inlineStr">
        <is>
          <t>-51.8%</t>
        </is>
      </c>
      <c r="F7" s="70" t="inlineStr">
        <is>
          <t>solved</t>
        </is>
      </c>
      <c r="G7" s="230" t="inlineStr">
        <is>
          <t>Phase-1 revenue growth must stay above 15.5% to justify current price</t>
        </is>
      </c>
    </row>
    <row r="8" ht="18" customHeight="1">
      <c r="B8" s="79" t="inlineStr">
        <is>
          <t>wacc</t>
        </is>
      </c>
      <c r="C8" s="59" t="inlineStr">
        <is>
          <t>0.0820</t>
        </is>
      </c>
      <c r="D8" s="851" t="inlineStr">
        <is>
          <t>0.0694</t>
        </is>
      </c>
      <c r="E8" s="857" t="inlineStr">
        <is>
          <t>-15.4%</t>
        </is>
      </c>
      <c r="F8" s="69" t="inlineStr">
        <is>
          <t>solved</t>
        </is>
      </c>
      <c r="G8" s="229" t="inlineStr">
        <is>
          <t>WACC must not rise above 6.94% before the stock becomes overvalued</t>
        </is>
      </c>
    </row>
    <row r="9" ht="18" customHeight="1">
      <c r="B9" s="77" t="inlineStr">
        <is>
          <t>terminal_growth</t>
        </is>
      </c>
      <c r="C9" s="57" t="inlineStr">
        <is>
          <t>0.0300</t>
        </is>
      </c>
      <c r="D9" s="853" t="inlineStr">
        <is>
          <t>0.0479</t>
        </is>
      </c>
      <c r="E9" s="857" t="inlineStr">
        <is>
          <t>-37.4%</t>
        </is>
      </c>
      <c r="F9" s="70" t="inlineStr">
        <is>
          <t>solved</t>
        </is>
      </c>
      <c r="G9" s="230" t="inlineStr">
        <is>
          <t>Terminal growth must stay above 4.79% to justify current price</t>
        </is>
      </c>
    </row>
    <row r="10" ht="18" customHeight="1">
      <c r="B10" s="79" t="inlineStr">
        <is>
          <t>capex_pct</t>
        </is>
      </c>
      <c r="C10" s="59" t="inlineStr">
        <is>
          <t>0.0240</t>
        </is>
      </c>
      <c r="D10" s="851" t="inlineStr">
        <is>
          <t>—</t>
        </is>
      </c>
      <c r="E10" s="858" t="inlineStr">
        <is>
          <t>—</t>
        </is>
      </c>
      <c r="F10" s="859" t="inlineStr">
        <is>
          <t>unreachable</t>
        </is>
      </c>
      <c r="G10" s="229" t="inlineStr">
        <is>
          <t>current_price (213.00) lies outside the achievable DCF range for 'capex_pct' within bounds [0.005, 0.6]. DCF range: [158.59, 85.96].</t>
        </is>
      </c>
    </row>
    <row r="12" ht="16" customHeight="1">
      <c r="B12" s="295" t="inlineStr">
        <is>
          <t>MoS%: Green ≥ 15% (wide margin)   |   Amber 5–15% (watch closely)   |   Red &lt; 5% (⚠ near-breakeven — thesis is fragile)</t>
        </is>
      </c>
    </row>
  </sheetData>
  <mergeCells count="3">
    <mergeCell ref="B3:G3"/>
    <mergeCell ref="B12:G12"/>
    <mergeCell ref="B1:G1"/>
  </mergeCells>
  <pageMargins left="0.75" right="0.75" top="1" bottom="1" header="0.5" footer="0.5"/>
</worksheet>
</file>

<file path=xl/worksheets/sheet84.xml><?xml version="1.0" encoding="utf-8"?>
<worksheet xmlns="http://schemas.openxmlformats.org/spreadsheetml/2006/main">
  <sheetPr>
    <tabColor rgb="000071E3"/>
    <outlinePr summaryBelow="1" summaryRight="1"/>
    <pageSetUpPr/>
  </sheetPr>
  <dimension ref="B1:E29"/>
  <sheetViews>
    <sheetView showGridLines="0" workbookViewId="0">
      <pane ySplit="2" topLeftCell="A3" activePane="bottomLeft" state="frozen"/>
      <selection pane="bottomLeft" activeCell="A1" sqref="A1"/>
    </sheetView>
  </sheetViews>
  <sheetFormatPr baseColWidth="8" defaultRowHeight="15"/>
  <cols>
    <col width="3" customWidth="1" min="1" max="1"/>
    <col width="26" customWidth="1" min="2" max="2"/>
    <col width="18" customWidth="1" min="3" max="3"/>
    <col width="18" customWidth="1" min="4" max="4"/>
    <col width="18" customWidth="1" min="5" max="5"/>
    <col width="3" customWidth="1" min="6" max="6"/>
  </cols>
  <sheetData>
    <row r="1" ht="28" customHeight="1">
      <c r="B1" s="855" t="inlineStr">
        <is>
          <t>Apple Inc. — Adversarial Stress Test (Anti-Thesis Simulator)</t>
        </is>
      </c>
    </row>
    <row r="3" ht="20" customHeight="1">
      <c r="B3" s="856" t="inlineStr">
        <is>
          <t>STRESS SUMMARY</t>
        </is>
      </c>
    </row>
    <row r="4" ht="18" customHeight="1">
      <c r="B4" s="79" t="inlineStr">
        <is>
          <t>Dominant Risk</t>
        </is>
      </c>
      <c r="C4" s="851" t="inlineStr">
        <is>
          <t>valuation_stretch</t>
        </is>
      </c>
    </row>
    <row r="5" ht="18" customHeight="1">
      <c r="B5" s="77" t="inlineStr">
        <is>
          <t>Severity</t>
        </is>
      </c>
      <c r="C5" s="153" t="inlineStr">
        <is>
          <t>CRITICAL</t>
        </is>
      </c>
    </row>
    <row r="6" ht="18" customHeight="1">
      <c r="B6" s="79" t="inlineStr">
        <is>
          <t>Historical Analog</t>
        </is>
      </c>
      <c r="C6" s="851" t="inlineStr">
        <is>
          <t>Multiple mean reversion — overvalued tech de-rating</t>
        </is>
      </c>
    </row>
    <row r="7" ht="18" customHeight="1">
      <c r="B7" s="77" t="inlineStr">
        <is>
          <t>Ref. Drawdown</t>
        </is>
      </c>
      <c r="C7" s="853" t="inlineStr">
        <is>
          <t>-40.0%</t>
        </is>
      </c>
    </row>
    <row r="8" ht="18" customHeight="1">
      <c r="B8" s="79" t="inlineStr">
        <is>
          <t>Stress ID</t>
        </is>
      </c>
      <c r="C8" s="851" t="inlineStr">
        <is>
          <t>591d73f7-8a6c-42a6-9cdb-86cdd3ca9d08</t>
        </is>
      </c>
    </row>
    <row r="10" ht="20" customHeight="1">
      <c r="B10" s="856" t="inlineStr">
        <is>
          <t>RISK DIMENSION SCORES</t>
        </is>
      </c>
    </row>
    <row r="11" ht="18" customHeight="1">
      <c r="B11" s="77" t="inlineStr">
        <is>
          <t>tech_growth_concentration</t>
        </is>
      </c>
      <c r="C11" s="853" t="inlineStr">
        <is>
          <t>0.9</t>
        </is>
      </c>
      <c r="D11" s="860" t="inlineStr">
        <is>
          <t>Rank #—</t>
        </is>
      </c>
    </row>
    <row r="12" ht="18" customHeight="1">
      <c r="B12" s="79" t="inlineStr">
        <is>
          <t>china_exposure</t>
        </is>
      </c>
      <c r="C12" s="851" t="inlineStr">
        <is>
          <t>0.2</t>
        </is>
      </c>
      <c r="D12" s="861" t="inlineStr">
        <is>
          <t>Rank #—</t>
        </is>
      </c>
    </row>
    <row r="13" ht="18" customHeight="1">
      <c r="B13" s="77" t="inlineStr">
        <is>
          <t>leverage_quality</t>
        </is>
      </c>
      <c r="C13" s="853" t="inlineStr">
        <is>
          <t>0.0</t>
        </is>
      </c>
      <c r="D13" s="860" t="inlineStr">
        <is>
          <t>Rank #—</t>
        </is>
      </c>
    </row>
    <row r="14" ht="18" customHeight="1">
      <c r="B14" s="79" t="inlineStr">
        <is>
          <t>ai_disruption</t>
        </is>
      </c>
      <c r="C14" s="851" t="inlineStr">
        <is>
          <t>0.3</t>
        </is>
      </c>
      <c r="D14" s="861" t="inlineStr">
        <is>
          <t>Rank #—</t>
        </is>
      </c>
    </row>
    <row r="15" ht="18" customHeight="1">
      <c r="B15" s="77" t="inlineStr">
        <is>
          <t>valuation_stretch</t>
        </is>
      </c>
      <c r="C15" s="853" t="inlineStr">
        <is>
          <t>1.0</t>
        </is>
      </c>
      <c r="D15" s="860" t="inlineStr">
        <is>
          <t>Rank #—</t>
        </is>
      </c>
    </row>
    <row r="17" ht="20" customHeight="1">
      <c r="B17" s="856" t="inlineStr">
        <is>
          <t>APPLIED SHOCKS</t>
        </is>
      </c>
    </row>
    <row r="18" ht="17" customHeight="1">
      <c r="B18" s="79" t="inlineStr">
        <is>
          <t>terminal_growth</t>
        </is>
      </c>
      <c r="C18" s="862" t="inlineStr">
        <is>
          <t>-1 bps</t>
        </is>
      </c>
    </row>
    <row r="19" ht="17" customHeight="1">
      <c r="B19" s="77" t="inlineStr">
        <is>
          <t>wacc</t>
        </is>
      </c>
      <c r="C19" s="863" t="inlineStr">
        <is>
          <t>+2 bps</t>
        </is>
      </c>
    </row>
    <row r="20" ht="17" customHeight="1">
      <c r="B20" s="79" t="inlineStr">
        <is>
          <t>ebit_margin</t>
        </is>
      </c>
      <c r="C20" s="862" t="inlineStr">
        <is>
          <t>× 0.88  (-12%)</t>
        </is>
      </c>
    </row>
    <row r="21" ht="17" customHeight="1">
      <c r="B21" s="77" t="inlineStr">
        <is>
          <t>g1</t>
        </is>
      </c>
      <c r="C21" s="863" t="inlineStr">
        <is>
          <t>× 0.19  (-81%)</t>
        </is>
      </c>
    </row>
    <row r="22" ht="17" customHeight="1">
      <c r="B22" s="79" t="inlineStr">
        <is>
          <t>g2</t>
        </is>
      </c>
      <c r="C22" s="862" t="inlineStr">
        <is>
          <t>× 0.21  (-79%)</t>
        </is>
      </c>
    </row>
    <row r="24" ht="20" customHeight="1">
      <c r="B24" s="856" t="inlineStr">
        <is>
          <t>SCENARIO NARRATIVE</t>
        </is>
      </c>
    </row>
    <row r="25" ht="18" customHeight="1">
      <c r="B25" s="864" t="inlineStr">
        <is>
          <t>[CRITICAL] Portfolio exhibits stretched valuation relative to price targets (concentration score: 1.00), making it maximally vulnerable to a multiple mean reversion — overvalued tech de-rating style crisis. Adversarial stress applies: Phase-1 growth compressed to 19% of base; WACC elevated by 2bps; EBIT margins squeezed to 88% of base.</t>
        </is>
      </c>
    </row>
    <row r="26" ht="18" customHeight="1"/>
    <row r="27" ht="18" customHeight="1"/>
    <row r="28" ht="18" customHeight="1"/>
    <row r="29" ht="18" customHeight="1"/>
  </sheetData>
  <mergeCells count="16">
    <mergeCell ref="B17:E17"/>
    <mergeCell ref="B1:E1"/>
    <mergeCell ref="C5:E5"/>
    <mergeCell ref="C19:E19"/>
    <mergeCell ref="C22:E22"/>
    <mergeCell ref="C8:E8"/>
    <mergeCell ref="C18:E18"/>
    <mergeCell ref="C4:E4"/>
    <mergeCell ref="C21:E21"/>
    <mergeCell ref="B25:E29"/>
    <mergeCell ref="B3:E3"/>
    <mergeCell ref="B24:E24"/>
    <mergeCell ref="C7:E7"/>
    <mergeCell ref="B10:E10"/>
    <mergeCell ref="C20:E20"/>
    <mergeCell ref="C6:E6"/>
  </mergeCells>
  <pageMargins left="0.75" right="0.75" top="1" bottom="1" header="0.5" footer="0.5"/>
</worksheet>
</file>

<file path=xl/worksheets/sheet85.xml><?xml version="1.0" encoding="utf-8"?>
<worksheet xmlns="http://schemas.openxmlformats.org/spreadsheetml/2006/main">
  <sheetPr>
    <tabColor rgb="000071E3"/>
    <outlinePr summaryBelow="1" summaryRight="1"/>
    <pageSetUpPr/>
  </sheetPr>
  <dimension ref="B1:G9"/>
  <sheetViews>
    <sheetView showGridLines="0" workbookViewId="0">
      <pane ySplit="5" topLeftCell="A6" activePane="bottomLeft" state="frozen"/>
      <selection pane="bottomLeft" activeCell="A1" sqref="A1"/>
    </sheetView>
  </sheetViews>
  <sheetFormatPr baseColWidth="8" defaultRowHeight="15"/>
  <cols>
    <col width="3" customWidth="1" min="1" max="1"/>
    <col width="22" customWidth="1" min="2" max="2"/>
    <col width="14" customWidth="1" min="3" max="3"/>
    <col width="14" customWidth="1" min="4" max="4"/>
    <col width="14" customWidth="1" min="5" max="5"/>
    <col width="14" customWidth="1" min="6" max="6"/>
    <col width="14" customWidth="1" min="7" max="7"/>
    <col width="3" customWidth="1" min="8" max="8"/>
  </cols>
  <sheetData>
    <row r="1" ht="28" customHeight="1">
      <c r="B1" s="855" t="inlineStr">
        <is>
          <t>Apple Inc. — Analyst Calibration Ledger</t>
        </is>
      </c>
    </row>
    <row r="3" ht="20" customHeight="1">
      <c r="B3" s="856" t="inlineStr">
        <is>
          <t>CALIBRATION FACTORS BY METRIC</t>
        </is>
      </c>
    </row>
    <row r="4" ht="18" customHeight="1">
      <c r="B4" s="56" t="inlineStr">
        <is>
          <t>Metric</t>
        </is>
      </c>
      <c r="C4" s="56" t="inlineStr">
        <is>
          <t>Factor</t>
        </is>
      </c>
      <c r="D4" s="56" t="inlineStr">
        <is>
          <t>Bias</t>
        </is>
      </c>
      <c r="E4" s="56" t="inlineStr">
        <is>
          <t>Interpretation</t>
        </is>
      </c>
    </row>
    <row r="5" ht="18" customHeight="1">
      <c r="B5" s="317" t="inlineStr">
        <is>
          <t>No calibration data yet — log estimates with --analyst-id and record actuals.</t>
        </is>
      </c>
    </row>
    <row r="7" ht="20" customHeight="1">
      <c r="B7" s="856" t="inlineStr">
        <is>
          <t>RECENT ESTIMATE HISTORY</t>
        </is>
      </c>
    </row>
    <row r="8" ht="18" customHeight="1">
      <c r="B8" s="56" t="inlineStr">
        <is>
          <t>Metric</t>
        </is>
      </c>
      <c r="C8" s="56" t="inlineStr">
        <is>
          <t>Fiscal Period</t>
        </is>
      </c>
      <c r="D8" s="56" t="inlineStr">
        <is>
          <t>Projected</t>
        </is>
      </c>
      <c r="E8" s="56" t="inlineStr">
        <is>
          <t>Actual</t>
        </is>
      </c>
      <c r="F8" s="56" t="inlineStr">
        <is>
          <t>Variance %</t>
        </is>
      </c>
      <c r="G8" s="56" t="inlineStr">
        <is>
          <t>Timestamp</t>
        </is>
      </c>
    </row>
    <row r="9" ht="18" customHeight="1">
      <c r="B9" s="317" t="inlineStr">
        <is>
          <t>No entries yet.</t>
        </is>
      </c>
    </row>
  </sheetData>
  <mergeCells count="6">
    <mergeCell ref="B3:G3"/>
    <mergeCell ref="B5:G5"/>
    <mergeCell ref="B9:G9"/>
    <mergeCell ref="B1:G1"/>
    <mergeCell ref="E4:G4"/>
    <mergeCell ref="B7:G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2026-07-12T00:51:23Z</dcterms:created>
  <dcterms:modified xmlns:dcterms="http://purl.org/dc/terms/" xmlns:xsi="http://www.w3.org/2001/XMLSchema-instance" xsi:type="dcterms:W3CDTF">2026-07-12T00:51:24Z</dcterms:modified>
</cp:coreProperties>
</file>